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ord Alive\Dayspring\Everyday Counter Cards\"/>
    </mc:Choice>
  </mc:AlternateContent>
  <xr:revisionPtr revIDLastSave="0" documentId="8_{98B47DD1-0118-4BB2-89D6-BD4C9D6AD733}" xr6:coauthVersionLast="47" xr6:coauthVersionMax="47" xr10:uidLastSave="{00000000-0000-0000-0000-000000000000}"/>
  <bookViews>
    <workbookView xWindow="-120" yWindow="-120" windowWidth="29040" windowHeight="15840" xr2:uid="{08D712BD-9D33-4F0F-A9ED-E213A72B0462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C2" i="1"/>
  <c r="B2" i="1"/>
  <c r="A2" i="1"/>
  <c r="E3" i="1"/>
  <c r="D3" i="1"/>
  <c r="C3" i="1"/>
  <c r="B3" i="1"/>
  <c r="A3" i="1"/>
  <c r="E4" i="1"/>
  <c r="D4" i="1"/>
  <c r="C4" i="1"/>
  <c r="B4" i="1"/>
  <c r="A4" i="1"/>
  <c r="E5" i="1"/>
  <c r="D5" i="1"/>
  <c r="C5" i="1"/>
  <c r="B5" i="1"/>
  <c r="A5" i="1"/>
  <c r="E6" i="1"/>
  <c r="D6" i="1"/>
  <c r="C6" i="1"/>
  <c r="B6" i="1"/>
  <c r="A6" i="1"/>
  <c r="E7" i="1"/>
  <c r="D7" i="1"/>
  <c r="C7" i="1"/>
  <c r="B7" i="1"/>
  <c r="A7" i="1"/>
  <c r="E8" i="1"/>
  <c r="D8" i="1"/>
  <c r="C8" i="1"/>
  <c r="B8" i="1"/>
  <c r="A8" i="1"/>
  <c r="E9" i="1"/>
  <c r="D9" i="1"/>
  <c r="C9" i="1"/>
  <c r="B9" i="1"/>
  <c r="A9" i="1"/>
  <c r="E10" i="1"/>
  <c r="D10" i="1"/>
  <c r="C10" i="1"/>
  <c r="B10" i="1"/>
  <c r="A10" i="1"/>
  <c r="E11" i="1"/>
  <c r="D11" i="1"/>
  <c r="C11" i="1"/>
  <c r="B11" i="1"/>
  <c r="A11" i="1"/>
  <c r="E12" i="1"/>
  <c r="D12" i="1"/>
  <c r="C12" i="1"/>
  <c r="B12" i="1"/>
  <c r="A12" i="1"/>
  <c r="E13" i="1"/>
  <c r="D13" i="1"/>
  <c r="C13" i="1"/>
  <c r="B13" i="1"/>
  <c r="A13" i="1"/>
  <c r="E14" i="1"/>
  <c r="D14" i="1"/>
  <c r="C14" i="1"/>
  <c r="B14" i="1"/>
  <c r="A14" i="1"/>
  <c r="E15" i="1"/>
  <c r="D15" i="1"/>
  <c r="C15" i="1"/>
  <c r="B15" i="1"/>
  <c r="A15" i="1"/>
  <c r="E16" i="1"/>
  <c r="D16" i="1"/>
  <c r="C16" i="1"/>
  <c r="B16" i="1"/>
  <c r="A16" i="1"/>
  <c r="E17" i="1"/>
  <c r="D17" i="1"/>
  <c r="C17" i="1"/>
  <c r="B17" i="1"/>
  <c r="A17" i="1"/>
  <c r="E18" i="1"/>
  <c r="D18" i="1"/>
  <c r="C18" i="1"/>
  <c r="B18" i="1"/>
  <c r="A18" i="1"/>
  <c r="E19" i="1"/>
  <c r="D19" i="1"/>
  <c r="C19" i="1"/>
  <c r="B19" i="1"/>
  <c r="A19" i="1"/>
  <c r="E20" i="1"/>
  <c r="D20" i="1"/>
  <c r="C20" i="1"/>
  <c r="B20" i="1"/>
  <c r="A20" i="1"/>
  <c r="E21" i="1"/>
  <c r="D21" i="1"/>
  <c r="C21" i="1"/>
  <c r="B21" i="1"/>
  <c r="A21" i="1"/>
  <c r="E22" i="1"/>
  <c r="D22" i="1"/>
  <c r="C22" i="1"/>
  <c r="B22" i="1"/>
  <c r="A22" i="1"/>
  <c r="E23" i="1"/>
  <c r="D23" i="1"/>
  <c r="C23" i="1"/>
  <c r="B23" i="1"/>
  <c r="A23" i="1"/>
  <c r="E24" i="1"/>
  <c r="D24" i="1"/>
  <c r="C24" i="1"/>
  <c r="B24" i="1"/>
  <c r="A24" i="1"/>
  <c r="E25" i="1"/>
  <c r="D25" i="1"/>
  <c r="C25" i="1"/>
  <c r="B25" i="1"/>
  <c r="A25" i="1"/>
  <c r="E26" i="1"/>
  <c r="D26" i="1"/>
  <c r="C26" i="1"/>
  <c r="B26" i="1"/>
  <c r="A26" i="1"/>
  <c r="E27" i="1"/>
  <c r="D27" i="1"/>
  <c r="C27" i="1"/>
  <c r="B27" i="1"/>
  <c r="A27" i="1"/>
  <c r="E28" i="1"/>
  <c r="D28" i="1"/>
  <c r="C28" i="1"/>
  <c r="B28" i="1"/>
  <c r="A28" i="1"/>
  <c r="E29" i="1"/>
  <c r="D29" i="1"/>
  <c r="C29" i="1"/>
  <c r="B29" i="1"/>
  <c r="A29" i="1"/>
  <c r="E30" i="1"/>
  <c r="D30" i="1"/>
  <c r="C30" i="1"/>
  <c r="B30" i="1"/>
  <c r="A30" i="1"/>
  <c r="E31" i="1"/>
  <c r="D31" i="1"/>
  <c r="C31" i="1"/>
  <c r="B31" i="1"/>
  <c r="A31" i="1"/>
  <c r="E32" i="1"/>
  <c r="D32" i="1"/>
  <c r="C32" i="1"/>
  <c r="B32" i="1"/>
  <c r="A32" i="1"/>
  <c r="E33" i="1"/>
  <c r="D33" i="1"/>
  <c r="C33" i="1"/>
  <c r="B33" i="1"/>
  <c r="A33" i="1"/>
  <c r="E34" i="1"/>
  <c r="D34" i="1"/>
  <c r="C34" i="1"/>
  <c r="B34" i="1"/>
  <c r="A34" i="1"/>
  <c r="E35" i="1"/>
  <c r="D35" i="1"/>
  <c r="C35" i="1"/>
  <c r="B35" i="1"/>
  <c r="A35" i="1"/>
  <c r="E36" i="1"/>
  <c r="D36" i="1"/>
  <c r="C36" i="1"/>
  <c r="B36" i="1"/>
  <c r="A36" i="1"/>
  <c r="E37" i="1"/>
  <c r="D37" i="1"/>
  <c r="C37" i="1"/>
  <c r="B37" i="1"/>
  <c r="A37" i="1"/>
  <c r="E38" i="1"/>
  <c r="D38" i="1"/>
  <c r="C38" i="1"/>
  <c r="B38" i="1"/>
  <c r="A38" i="1"/>
  <c r="E39" i="1"/>
  <c r="D39" i="1"/>
  <c r="C39" i="1"/>
  <c r="B39" i="1"/>
  <c r="A39" i="1"/>
  <c r="E40" i="1"/>
  <c r="D40" i="1"/>
  <c r="C40" i="1"/>
  <c r="B40" i="1"/>
  <c r="A40" i="1"/>
  <c r="E41" i="1"/>
  <c r="D41" i="1"/>
  <c r="C41" i="1"/>
  <c r="B41" i="1"/>
  <c r="A41" i="1"/>
  <c r="E42" i="1"/>
  <c r="D42" i="1"/>
  <c r="C42" i="1"/>
  <c r="B42" i="1"/>
  <c r="A42" i="1"/>
  <c r="E43" i="1"/>
  <c r="D43" i="1"/>
  <c r="C43" i="1"/>
  <c r="B43" i="1"/>
  <c r="A43" i="1"/>
  <c r="E44" i="1"/>
  <c r="D44" i="1"/>
  <c r="C44" i="1"/>
  <c r="B44" i="1"/>
  <c r="A44" i="1"/>
  <c r="E45" i="1"/>
  <c r="D45" i="1"/>
  <c r="C45" i="1"/>
  <c r="B45" i="1"/>
  <c r="A45" i="1"/>
  <c r="E46" i="1"/>
  <c r="D46" i="1"/>
  <c r="C46" i="1"/>
  <c r="B46" i="1"/>
  <c r="A46" i="1"/>
  <c r="E47" i="1"/>
  <c r="D47" i="1"/>
  <c r="C47" i="1"/>
  <c r="B47" i="1"/>
  <c r="A47" i="1"/>
  <c r="E48" i="1"/>
  <c r="D48" i="1"/>
  <c r="C48" i="1"/>
  <c r="B48" i="1"/>
  <c r="A48" i="1"/>
  <c r="E49" i="1"/>
  <c r="D49" i="1"/>
  <c r="C49" i="1"/>
  <c r="B49" i="1"/>
  <c r="A49" i="1"/>
  <c r="E50" i="1"/>
  <c r="D50" i="1"/>
  <c r="C50" i="1"/>
  <c r="B50" i="1"/>
  <c r="A50" i="1"/>
  <c r="E51" i="1"/>
  <c r="D51" i="1"/>
  <c r="C51" i="1"/>
  <c r="B51" i="1"/>
  <c r="A51" i="1"/>
  <c r="E52" i="1"/>
  <c r="D52" i="1"/>
  <c r="C52" i="1"/>
  <c r="B52" i="1"/>
  <c r="A52" i="1"/>
  <c r="E53" i="1"/>
  <c r="D53" i="1"/>
  <c r="C53" i="1"/>
  <c r="B53" i="1"/>
  <c r="A53" i="1"/>
  <c r="E54" i="1"/>
  <c r="D54" i="1"/>
  <c r="C54" i="1"/>
  <c r="B54" i="1"/>
  <c r="A54" i="1"/>
  <c r="E55" i="1"/>
  <c r="D55" i="1"/>
  <c r="C55" i="1"/>
  <c r="B55" i="1"/>
  <c r="A55" i="1"/>
  <c r="E56" i="1"/>
  <c r="D56" i="1"/>
  <c r="C56" i="1"/>
  <c r="B56" i="1"/>
  <c r="A56" i="1"/>
  <c r="E57" i="1"/>
  <c r="D57" i="1"/>
  <c r="C57" i="1"/>
  <c r="B57" i="1"/>
  <c r="A57" i="1"/>
  <c r="E58" i="1"/>
  <c r="D58" i="1"/>
  <c r="C58" i="1"/>
  <c r="B58" i="1"/>
  <c r="A58" i="1"/>
  <c r="E59" i="1"/>
  <c r="D59" i="1"/>
  <c r="C59" i="1"/>
  <c r="B59" i="1"/>
  <c r="A59" i="1"/>
  <c r="E60" i="1"/>
  <c r="D60" i="1"/>
  <c r="C60" i="1"/>
  <c r="B60" i="1"/>
  <c r="A60" i="1"/>
  <c r="E61" i="1"/>
  <c r="D61" i="1"/>
  <c r="C61" i="1"/>
  <c r="B61" i="1"/>
  <c r="A61" i="1"/>
  <c r="E62" i="1"/>
  <c r="D62" i="1"/>
  <c r="C62" i="1"/>
  <c r="B62" i="1"/>
  <c r="A62" i="1"/>
  <c r="E63" i="1"/>
  <c r="D63" i="1"/>
  <c r="C63" i="1"/>
  <c r="B63" i="1"/>
  <c r="A63" i="1"/>
  <c r="E64" i="1"/>
  <c r="D64" i="1"/>
  <c r="C64" i="1"/>
  <c r="B64" i="1"/>
  <c r="A64" i="1"/>
  <c r="E65" i="1"/>
  <c r="D65" i="1"/>
  <c r="C65" i="1"/>
  <c r="B65" i="1"/>
  <c r="A65" i="1"/>
  <c r="E66" i="1"/>
  <c r="D66" i="1"/>
  <c r="C66" i="1"/>
  <c r="B66" i="1"/>
  <c r="A66" i="1"/>
  <c r="E67" i="1"/>
  <c r="D67" i="1"/>
  <c r="C67" i="1"/>
  <c r="B67" i="1"/>
  <c r="A67" i="1"/>
  <c r="E68" i="1"/>
  <c r="D68" i="1"/>
  <c r="C68" i="1"/>
  <c r="B68" i="1"/>
  <c r="A68" i="1"/>
  <c r="E69" i="1"/>
  <c r="D69" i="1"/>
  <c r="C69" i="1"/>
  <c r="B69" i="1"/>
  <c r="A69" i="1"/>
  <c r="E70" i="1"/>
  <c r="D70" i="1"/>
  <c r="C70" i="1"/>
  <c r="B70" i="1"/>
  <c r="A70" i="1"/>
  <c r="E71" i="1"/>
  <c r="D71" i="1"/>
  <c r="C71" i="1"/>
  <c r="B71" i="1"/>
  <c r="A71" i="1"/>
  <c r="E72" i="1"/>
  <c r="D72" i="1"/>
  <c r="C72" i="1"/>
  <c r="B72" i="1"/>
  <c r="A72" i="1"/>
  <c r="E73" i="1"/>
  <c r="D73" i="1"/>
  <c r="C73" i="1"/>
  <c r="B73" i="1"/>
  <c r="A73" i="1"/>
  <c r="E74" i="1"/>
  <c r="D74" i="1"/>
  <c r="C74" i="1"/>
  <c r="B74" i="1"/>
  <c r="A74" i="1"/>
  <c r="E75" i="1"/>
  <c r="D75" i="1"/>
  <c r="C75" i="1"/>
  <c r="B75" i="1"/>
  <c r="A75" i="1"/>
  <c r="E76" i="1"/>
  <c r="D76" i="1"/>
  <c r="C76" i="1"/>
  <c r="B76" i="1"/>
  <c r="A76" i="1"/>
  <c r="E77" i="1"/>
  <c r="D77" i="1"/>
  <c r="C77" i="1"/>
  <c r="B77" i="1"/>
  <c r="A77" i="1"/>
  <c r="E78" i="1"/>
  <c r="D78" i="1"/>
  <c r="C78" i="1"/>
  <c r="B78" i="1"/>
  <c r="A78" i="1"/>
  <c r="E79" i="1"/>
  <c r="D79" i="1"/>
  <c r="C79" i="1"/>
  <c r="B79" i="1"/>
  <c r="A79" i="1"/>
  <c r="E80" i="1"/>
  <c r="D80" i="1"/>
  <c r="C80" i="1"/>
  <c r="B80" i="1"/>
  <c r="A80" i="1"/>
  <c r="E81" i="1"/>
  <c r="D81" i="1"/>
  <c r="C81" i="1"/>
  <c r="B81" i="1"/>
  <c r="A81" i="1"/>
  <c r="E82" i="1"/>
  <c r="D82" i="1"/>
  <c r="C82" i="1"/>
  <c r="B82" i="1"/>
  <c r="A82" i="1"/>
  <c r="E83" i="1"/>
  <c r="D83" i="1"/>
  <c r="C83" i="1"/>
  <c r="B83" i="1"/>
  <c r="A83" i="1"/>
  <c r="E84" i="1"/>
  <c r="D84" i="1"/>
  <c r="C84" i="1"/>
  <c r="B84" i="1"/>
  <c r="A84" i="1"/>
  <c r="E85" i="1"/>
  <c r="D85" i="1"/>
  <c r="C85" i="1"/>
  <c r="B85" i="1"/>
  <c r="A85" i="1"/>
  <c r="E86" i="1"/>
  <c r="D86" i="1"/>
  <c r="C86" i="1"/>
  <c r="B86" i="1"/>
  <c r="A86" i="1"/>
  <c r="E87" i="1"/>
  <c r="D87" i="1"/>
  <c r="C87" i="1"/>
  <c r="B87" i="1"/>
  <c r="A87" i="1"/>
  <c r="E88" i="1"/>
  <c r="D88" i="1"/>
  <c r="C88" i="1"/>
  <c r="B88" i="1"/>
  <c r="A88" i="1"/>
  <c r="E89" i="1"/>
  <c r="D89" i="1"/>
  <c r="C89" i="1"/>
  <c r="B89" i="1"/>
  <c r="A89" i="1"/>
  <c r="E90" i="1"/>
  <c r="D90" i="1"/>
  <c r="C90" i="1"/>
  <c r="B90" i="1"/>
  <c r="A90" i="1"/>
  <c r="E91" i="1"/>
  <c r="D91" i="1"/>
  <c r="C91" i="1"/>
  <c r="B91" i="1"/>
  <c r="A91" i="1"/>
  <c r="E92" i="1"/>
  <c r="D92" i="1"/>
  <c r="C92" i="1"/>
  <c r="B92" i="1"/>
  <c r="A92" i="1"/>
  <c r="E93" i="1"/>
  <c r="D93" i="1"/>
  <c r="C93" i="1"/>
  <c r="B93" i="1"/>
  <c r="A93" i="1"/>
  <c r="E94" i="1"/>
  <c r="D94" i="1"/>
  <c r="C94" i="1"/>
  <c r="B94" i="1"/>
  <c r="A94" i="1"/>
  <c r="E95" i="1"/>
  <c r="D95" i="1"/>
  <c r="C95" i="1"/>
  <c r="B95" i="1"/>
  <c r="A95" i="1"/>
  <c r="E96" i="1"/>
  <c r="D96" i="1"/>
  <c r="C96" i="1"/>
  <c r="B96" i="1"/>
  <c r="A96" i="1"/>
  <c r="E97" i="1"/>
  <c r="D97" i="1"/>
  <c r="C97" i="1"/>
  <c r="B97" i="1"/>
  <c r="A97" i="1"/>
  <c r="E98" i="1"/>
  <c r="D98" i="1"/>
  <c r="C98" i="1"/>
  <c r="B98" i="1"/>
  <c r="A98" i="1"/>
  <c r="E99" i="1"/>
  <c r="D99" i="1"/>
  <c r="C99" i="1"/>
  <c r="B99" i="1"/>
  <c r="A99" i="1"/>
  <c r="E100" i="1"/>
  <c r="D100" i="1"/>
  <c r="C100" i="1"/>
  <c r="B100" i="1"/>
  <c r="A100" i="1"/>
  <c r="E101" i="1"/>
  <c r="D101" i="1"/>
  <c r="C101" i="1"/>
  <c r="B101" i="1"/>
  <c r="A101" i="1"/>
  <c r="E102" i="1"/>
  <c r="D102" i="1"/>
  <c r="C102" i="1"/>
  <c r="B102" i="1"/>
  <c r="A102" i="1"/>
  <c r="E103" i="1"/>
  <c r="D103" i="1"/>
  <c r="C103" i="1"/>
  <c r="B103" i="1"/>
  <c r="A103" i="1"/>
  <c r="E104" i="1"/>
  <c r="D104" i="1"/>
  <c r="C104" i="1"/>
  <c r="B104" i="1"/>
  <c r="A104" i="1"/>
  <c r="E105" i="1"/>
  <c r="D105" i="1"/>
  <c r="C105" i="1"/>
  <c r="B105" i="1"/>
  <c r="A105" i="1"/>
  <c r="E106" i="1"/>
  <c r="D106" i="1"/>
  <c r="C106" i="1"/>
  <c r="B106" i="1"/>
  <c r="A106" i="1"/>
  <c r="E107" i="1"/>
  <c r="D107" i="1"/>
  <c r="C107" i="1"/>
  <c r="B107" i="1"/>
  <c r="A107" i="1"/>
  <c r="E108" i="1"/>
  <c r="D108" i="1"/>
  <c r="C108" i="1"/>
  <c r="B108" i="1"/>
  <c r="A108" i="1"/>
  <c r="E109" i="1"/>
  <c r="D109" i="1"/>
  <c r="C109" i="1"/>
  <c r="B109" i="1"/>
  <c r="A109" i="1"/>
  <c r="E110" i="1"/>
  <c r="D110" i="1"/>
  <c r="C110" i="1"/>
  <c r="B110" i="1"/>
  <c r="A110" i="1"/>
  <c r="E111" i="1"/>
  <c r="D111" i="1"/>
  <c r="C111" i="1"/>
  <c r="B111" i="1"/>
  <c r="A111" i="1"/>
  <c r="E112" i="1"/>
  <c r="D112" i="1"/>
  <c r="C112" i="1"/>
  <c r="B112" i="1"/>
  <c r="A112" i="1"/>
  <c r="E113" i="1"/>
  <c r="D113" i="1"/>
  <c r="C113" i="1"/>
  <c r="B113" i="1"/>
  <c r="A113" i="1"/>
  <c r="E114" i="1"/>
  <c r="D114" i="1"/>
  <c r="C114" i="1"/>
  <c r="B114" i="1"/>
  <c r="A114" i="1"/>
  <c r="E115" i="1"/>
  <c r="D115" i="1"/>
  <c r="C115" i="1"/>
  <c r="B115" i="1"/>
  <c r="A115" i="1"/>
  <c r="E116" i="1"/>
  <c r="D116" i="1"/>
  <c r="C116" i="1"/>
  <c r="B116" i="1"/>
  <c r="A116" i="1"/>
  <c r="E117" i="1"/>
  <c r="D117" i="1"/>
  <c r="C117" i="1"/>
  <c r="B117" i="1"/>
  <c r="A117" i="1"/>
  <c r="E118" i="1"/>
  <c r="D118" i="1"/>
  <c r="C118" i="1"/>
  <c r="B118" i="1"/>
  <c r="A118" i="1"/>
  <c r="E119" i="1"/>
  <c r="D119" i="1"/>
  <c r="C119" i="1"/>
  <c r="B119" i="1"/>
  <c r="A119" i="1"/>
  <c r="E120" i="1"/>
  <c r="D120" i="1"/>
  <c r="C120" i="1"/>
  <c r="B120" i="1"/>
  <c r="A120" i="1"/>
  <c r="E121" i="1"/>
  <c r="D121" i="1"/>
  <c r="C121" i="1"/>
  <c r="B121" i="1"/>
  <c r="A121" i="1"/>
  <c r="E122" i="1"/>
  <c r="D122" i="1"/>
  <c r="C122" i="1"/>
  <c r="B122" i="1"/>
  <c r="A122" i="1"/>
  <c r="E123" i="1"/>
  <c r="D123" i="1"/>
  <c r="C123" i="1"/>
  <c r="B123" i="1"/>
  <c r="A123" i="1"/>
  <c r="E124" i="1"/>
  <c r="D124" i="1"/>
  <c r="C124" i="1"/>
  <c r="B124" i="1"/>
  <c r="A124" i="1"/>
  <c r="E125" i="1"/>
  <c r="D125" i="1"/>
  <c r="C125" i="1"/>
  <c r="B125" i="1"/>
  <c r="A125" i="1"/>
  <c r="E126" i="1"/>
  <c r="D126" i="1"/>
  <c r="C126" i="1"/>
  <c r="B126" i="1"/>
  <c r="A126" i="1"/>
  <c r="E127" i="1"/>
  <c r="D127" i="1"/>
  <c r="C127" i="1"/>
  <c r="B127" i="1"/>
  <c r="A127" i="1"/>
  <c r="E128" i="1"/>
  <c r="D128" i="1"/>
  <c r="C128" i="1"/>
  <c r="B128" i="1"/>
  <c r="A128" i="1"/>
  <c r="E129" i="1"/>
  <c r="D129" i="1"/>
  <c r="C129" i="1"/>
  <c r="B129" i="1"/>
  <c r="A129" i="1"/>
  <c r="E130" i="1"/>
  <c r="D130" i="1"/>
  <c r="C130" i="1"/>
  <c r="B130" i="1"/>
  <c r="A130" i="1"/>
  <c r="E131" i="1"/>
  <c r="D131" i="1"/>
  <c r="C131" i="1"/>
  <c r="B131" i="1"/>
  <c r="A131" i="1"/>
  <c r="E132" i="1"/>
  <c r="D132" i="1"/>
  <c r="C132" i="1"/>
  <c r="B132" i="1"/>
  <c r="A132" i="1"/>
  <c r="E133" i="1"/>
  <c r="D133" i="1"/>
  <c r="C133" i="1"/>
  <c r="B133" i="1"/>
  <c r="A133" i="1"/>
  <c r="E134" i="1"/>
  <c r="D134" i="1"/>
  <c r="C134" i="1"/>
  <c r="B134" i="1"/>
  <c r="A134" i="1"/>
  <c r="E135" i="1"/>
  <c r="D135" i="1"/>
  <c r="C135" i="1"/>
  <c r="B135" i="1"/>
  <c r="A135" i="1"/>
  <c r="E136" i="1"/>
  <c r="D136" i="1"/>
  <c r="C136" i="1"/>
  <c r="B136" i="1"/>
  <c r="A136" i="1"/>
  <c r="E137" i="1"/>
  <c r="D137" i="1"/>
  <c r="C137" i="1"/>
  <c r="B137" i="1"/>
  <c r="A137" i="1"/>
  <c r="E138" i="1"/>
  <c r="D138" i="1"/>
  <c r="C138" i="1"/>
  <c r="B138" i="1"/>
  <c r="A138" i="1"/>
  <c r="E139" i="1"/>
  <c r="D139" i="1"/>
  <c r="C139" i="1"/>
  <c r="B139" i="1"/>
  <c r="A139" i="1"/>
  <c r="E140" i="1"/>
  <c r="D140" i="1"/>
  <c r="C140" i="1"/>
  <c r="B140" i="1"/>
  <c r="A140" i="1"/>
  <c r="E141" i="1"/>
  <c r="D141" i="1"/>
  <c r="C141" i="1"/>
  <c r="B141" i="1"/>
  <c r="A141" i="1"/>
  <c r="E142" i="1"/>
  <c r="D142" i="1"/>
  <c r="C142" i="1"/>
  <c r="B142" i="1"/>
  <c r="A142" i="1"/>
  <c r="E143" i="1"/>
  <c r="D143" i="1"/>
  <c r="C143" i="1"/>
  <c r="B143" i="1"/>
  <c r="A143" i="1"/>
  <c r="E144" i="1"/>
  <c r="D144" i="1"/>
  <c r="C144" i="1"/>
  <c r="B144" i="1"/>
  <c r="A144" i="1"/>
  <c r="E145" i="1"/>
  <c r="D145" i="1"/>
  <c r="C145" i="1"/>
  <c r="B145" i="1"/>
  <c r="A145" i="1"/>
  <c r="E146" i="1"/>
  <c r="D146" i="1"/>
  <c r="C146" i="1"/>
  <c r="B146" i="1"/>
  <c r="A146" i="1"/>
  <c r="E147" i="1"/>
  <c r="D147" i="1"/>
  <c r="C147" i="1"/>
  <c r="B147" i="1"/>
  <c r="A147" i="1"/>
  <c r="E148" i="1"/>
  <c r="D148" i="1"/>
  <c r="C148" i="1"/>
  <c r="B148" i="1"/>
  <c r="A148" i="1"/>
  <c r="E149" i="1"/>
  <c r="D149" i="1"/>
  <c r="C149" i="1"/>
  <c r="B149" i="1"/>
  <c r="A149" i="1"/>
  <c r="E150" i="1"/>
  <c r="D150" i="1"/>
  <c r="C150" i="1"/>
  <c r="B150" i="1"/>
  <c r="A150" i="1"/>
  <c r="E151" i="1"/>
  <c r="D151" i="1"/>
  <c r="C151" i="1"/>
  <c r="B151" i="1"/>
  <c r="A151" i="1"/>
  <c r="E152" i="1"/>
  <c r="D152" i="1"/>
  <c r="C152" i="1"/>
  <c r="B152" i="1"/>
  <c r="A152" i="1"/>
  <c r="E153" i="1"/>
  <c r="D153" i="1"/>
  <c r="C153" i="1"/>
  <c r="B153" i="1"/>
  <c r="A153" i="1"/>
  <c r="E154" i="1"/>
  <c r="D154" i="1"/>
  <c r="C154" i="1"/>
  <c r="B154" i="1"/>
  <c r="A154" i="1"/>
  <c r="E155" i="1"/>
  <c r="D155" i="1"/>
  <c r="C155" i="1"/>
  <c r="B155" i="1"/>
  <c r="A155" i="1"/>
  <c r="E156" i="1"/>
  <c r="D156" i="1"/>
  <c r="C156" i="1"/>
  <c r="B156" i="1"/>
  <c r="A156" i="1"/>
  <c r="E157" i="1"/>
  <c r="D157" i="1"/>
  <c r="C157" i="1"/>
  <c r="B157" i="1"/>
  <c r="A157" i="1"/>
  <c r="E158" i="1"/>
  <c r="D158" i="1"/>
  <c r="C158" i="1"/>
  <c r="B158" i="1"/>
  <c r="A158" i="1"/>
  <c r="E159" i="1"/>
  <c r="D159" i="1"/>
  <c r="C159" i="1"/>
  <c r="B159" i="1"/>
  <c r="A159" i="1"/>
  <c r="E160" i="1"/>
  <c r="D160" i="1"/>
  <c r="C160" i="1"/>
  <c r="B160" i="1"/>
  <c r="A160" i="1"/>
  <c r="E161" i="1"/>
  <c r="D161" i="1"/>
  <c r="C161" i="1"/>
  <c r="B161" i="1"/>
  <c r="A161" i="1"/>
  <c r="E162" i="1"/>
  <c r="D162" i="1"/>
  <c r="C162" i="1"/>
  <c r="B162" i="1"/>
  <c r="A162" i="1"/>
  <c r="E163" i="1"/>
  <c r="D163" i="1"/>
  <c r="C163" i="1"/>
  <c r="B163" i="1"/>
  <c r="A163" i="1"/>
  <c r="E164" i="1"/>
  <c r="D164" i="1"/>
  <c r="C164" i="1"/>
  <c r="B164" i="1"/>
  <c r="A164" i="1"/>
  <c r="E165" i="1"/>
  <c r="D165" i="1"/>
  <c r="C165" i="1"/>
  <c r="B165" i="1"/>
  <c r="A165" i="1"/>
  <c r="E166" i="1"/>
  <c r="D166" i="1"/>
  <c r="C166" i="1"/>
  <c r="B166" i="1"/>
  <c r="A166" i="1"/>
  <c r="E167" i="1"/>
  <c r="D167" i="1"/>
  <c r="C167" i="1"/>
  <c r="B167" i="1"/>
  <c r="A167" i="1"/>
  <c r="E168" i="1"/>
  <c r="D168" i="1"/>
  <c r="C168" i="1"/>
  <c r="B168" i="1"/>
  <c r="A168" i="1"/>
  <c r="E169" i="1"/>
  <c r="D169" i="1"/>
  <c r="C169" i="1"/>
  <c r="B169" i="1"/>
  <c r="A169" i="1"/>
  <c r="E170" i="1"/>
  <c r="D170" i="1"/>
  <c r="C170" i="1"/>
  <c r="B170" i="1"/>
  <c r="A170" i="1"/>
  <c r="E171" i="1"/>
  <c r="D171" i="1"/>
  <c r="C171" i="1"/>
  <c r="B171" i="1"/>
  <c r="A171" i="1"/>
  <c r="E172" i="1"/>
  <c r="D172" i="1"/>
  <c r="C172" i="1"/>
  <c r="B172" i="1"/>
  <c r="A172" i="1"/>
  <c r="E173" i="1"/>
  <c r="D173" i="1"/>
  <c r="C173" i="1"/>
  <c r="B173" i="1"/>
  <c r="A173" i="1"/>
  <c r="E174" i="1"/>
  <c r="D174" i="1"/>
  <c r="C174" i="1"/>
  <c r="B174" i="1"/>
  <c r="A174" i="1"/>
  <c r="E175" i="1"/>
  <c r="D175" i="1"/>
  <c r="C175" i="1"/>
  <c r="B175" i="1"/>
  <c r="A175" i="1"/>
  <c r="E176" i="1"/>
  <c r="D176" i="1"/>
  <c r="C176" i="1"/>
  <c r="B176" i="1"/>
  <c r="A176" i="1"/>
  <c r="E177" i="1"/>
  <c r="D177" i="1"/>
  <c r="C177" i="1"/>
  <c r="B177" i="1"/>
  <c r="A177" i="1"/>
  <c r="E178" i="1"/>
  <c r="D178" i="1"/>
  <c r="C178" i="1"/>
  <c r="B178" i="1"/>
  <c r="A178" i="1"/>
  <c r="E179" i="1"/>
  <c r="D179" i="1"/>
  <c r="C179" i="1"/>
  <c r="B179" i="1"/>
  <c r="A179" i="1"/>
  <c r="E180" i="1"/>
  <c r="D180" i="1"/>
  <c r="C180" i="1"/>
  <c r="B180" i="1"/>
  <c r="A180" i="1"/>
  <c r="E181" i="1"/>
  <c r="D181" i="1"/>
  <c r="C181" i="1"/>
  <c r="B181" i="1"/>
  <c r="A181" i="1"/>
  <c r="E182" i="1"/>
  <c r="D182" i="1"/>
  <c r="C182" i="1"/>
  <c r="B182" i="1"/>
  <c r="A182" i="1"/>
  <c r="E183" i="1"/>
  <c r="D183" i="1"/>
  <c r="C183" i="1"/>
  <c r="B183" i="1"/>
  <c r="A183" i="1"/>
  <c r="E184" i="1"/>
  <c r="D184" i="1"/>
  <c r="C184" i="1"/>
  <c r="B184" i="1"/>
  <c r="A184" i="1"/>
  <c r="E185" i="1"/>
  <c r="D185" i="1"/>
  <c r="C185" i="1"/>
  <c r="B185" i="1"/>
  <c r="A185" i="1"/>
  <c r="E186" i="1"/>
  <c r="D186" i="1"/>
  <c r="C186" i="1"/>
  <c r="B186" i="1"/>
  <c r="A186" i="1"/>
  <c r="E187" i="1"/>
  <c r="D187" i="1"/>
  <c r="C187" i="1"/>
  <c r="B187" i="1"/>
  <c r="A187" i="1"/>
  <c r="E188" i="1"/>
  <c r="D188" i="1"/>
  <c r="C188" i="1"/>
  <c r="B188" i="1"/>
  <c r="A188" i="1"/>
  <c r="E189" i="1"/>
  <c r="D189" i="1"/>
  <c r="C189" i="1"/>
  <c r="B189" i="1"/>
  <c r="A189" i="1"/>
  <c r="E190" i="1"/>
  <c r="D190" i="1"/>
  <c r="C190" i="1"/>
  <c r="B190" i="1"/>
  <c r="A190" i="1"/>
  <c r="E191" i="1"/>
  <c r="D191" i="1"/>
  <c r="C191" i="1"/>
  <c r="B191" i="1"/>
  <c r="A191" i="1"/>
  <c r="E192" i="1"/>
  <c r="D192" i="1"/>
  <c r="C192" i="1"/>
  <c r="B192" i="1"/>
  <c r="A192" i="1"/>
  <c r="E193" i="1"/>
  <c r="D193" i="1"/>
  <c r="C193" i="1"/>
  <c r="B193" i="1"/>
  <c r="A193" i="1"/>
  <c r="E194" i="1"/>
  <c r="D194" i="1"/>
  <c r="C194" i="1"/>
  <c r="B194" i="1"/>
  <c r="A194" i="1"/>
  <c r="E195" i="1"/>
  <c r="D195" i="1"/>
  <c r="C195" i="1"/>
  <c r="B195" i="1"/>
  <c r="A195" i="1"/>
  <c r="E196" i="1"/>
  <c r="D196" i="1"/>
  <c r="C196" i="1"/>
  <c r="B196" i="1"/>
  <c r="A196" i="1"/>
  <c r="E197" i="1"/>
  <c r="D197" i="1"/>
  <c r="C197" i="1"/>
  <c r="B197" i="1"/>
  <c r="A197" i="1"/>
  <c r="E198" i="1"/>
  <c r="D198" i="1"/>
  <c r="C198" i="1"/>
  <c r="B198" i="1"/>
  <c r="A198" i="1"/>
  <c r="E199" i="1"/>
  <c r="D199" i="1"/>
  <c r="C199" i="1"/>
  <c r="B199" i="1"/>
  <c r="A199" i="1"/>
  <c r="E200" i="1"/>
  <c r="D200" i="1"/>
  <c r="C200" i="1"/>
  <c r="B200" i="1"/>
  <c r="A200" i="1"/>
  <c r="E201" i="1"/>
  <c r="D201" i="1"/>
  <c r="C201" i="1"/>
  <c r="B201" i="1"/>
  <c r="A201" i="1"/>
  <c r="E202" i="1"/>
  <c r="D202" i="1"/>
  <c r="C202" i="1"/>
  <c r="B202" i="1"/>
  <c r="A202" i="1"/>
  <c r="E203" i="1"/>
  <c r="D203" i="1"/>
  <c r="C203" i="1"/>
  <c r="B203" i="1"/>
  <c r="A203" i="1"/>
  <c r="E204" i="1"/>
  <c r="D204" i="1"/>
  <c r="C204" i="1"/>
  <c r="B204" i="1"/>
  <c r="A204" i="1"/>
  <c r="E205" i="1"/>
  <c r="D205" i="1"/>
  <c r="C205" i="1"/>
  <c r="B205" i="1"/>
  <c r="A205" i="1"/>
  <c r="E206" i="1"/>
  <c r="D206" i="1"/>
  <c r="C206" i="1"/>
  <c r="B206" i="1"/>
  <c r="A206" i="1"/>
  <c r="E207" i="1"/>
  <c r="D207" i="1"/>
  <c r="C207" i="1"/>
  <c r="B207" i="1"/>
  <c r="A207" i="1"/>
  <c r="E208" i="1"/>
  <c r="D208" i="1"/>
  <c r="C208" i="1"/>
  <c r="B208" i="1"/>
  <c r="A208" i="1"/>
  <c r="E209" i="1"/>
  <c r="D209" i="1"/>
  <c r="C209" i="1"/>
  <c r="B209" i="1"/>
  <c r="A209" i="1"/>
  <c r="E210" i="1"/>
  <c r="D210" i="1"/>
  <c r="C210" i="1"/>
  <c r="B210" i="1"/>
  <c r="A210" i="1"/>
  <c r="E211" i="1"/>
  <c r="D211" i="1"/>
  <c r="C211" i="1"/>
  <c r="B211" i="1"/>
  <c r="A211" i="1"/>
  <c r="E212" i="1"/>
  <c r="D212" i="1"/>
  <c r="C212" i="1"/>
  <c r="B212" i="1"/>
  <c r="A212" i="1"/>
  <c r="E213" i="1"/>
  <c r="D213" i="1"/>
  <c r="C213" i="1"/>
  <c r="B213" i="1"/>
  <c r="A213" i="1"/>
  <c r="E214" i="1"/>
  <c r="D214" i="1"/>
  <c r="C214" i="1"/>
  <c r="B214" i="1"/>
  <c r="A214" i="1"/>
  <c r="E215" i="1"/>
  <c r="D215" i="1"/>
  <c r="C215" i="1"/>
  <c r="B215" i="1"/>
  <c r="A215" i="1"/>
  <c r="E216" i="1"/>
  <c r="D216" i="1"/>
  <c r="C216" i="1"/>
  <c r="B216" i="1"/>
  <c r="A216" i="1"/>
  <c r="E217" i="1"/>
  <c r="D217" i="1"/>
  <c r="C217" i="1"/>
  <c r="B217" i="1"/>
  <c r="A217" i="1"/>
  <c r="E218" i="1"/>
  <c r="D218" i="1"/>
  <c r="C218" i="1"/>
  <c r="B218" i="1"/>
  <c r="A218" i="1"/>
  <c r="E219" i="1"/>
  <c r="D219" i="1"/>
  <c r="C219" i="1"/>
  <c r="B219" i="1"/>
  <c r="A219" i="1"/>
  <c r="E220" i="1"/>
  <c r="D220" i="1"/>
  <c r="C220" i="1"/>
  <c r="B220" i="1"/>
  <c r="A220" i="1"/>
  <c r="E221" i="1"/>
  <c r="D221" i="1"/>
  <c r="C221" i="1"/>
  <c r="B221" i="1"/>
  <c r="A221" i="1"/>
  <c r="E222" i="1"/>
  <c r="D222" i="1"/>
  <c r="C222" i="1"/>
  <c r="B222" i="1"/>
  <c r="A222" i="1"/>
  <c r="E223" i="1"/>
  <c r="D223" i="1"/>
  <c r="C223" i="1"/>
  <c r="B223" i="1"/>
  <c r="A223" i="1"/>
  <c r="E224" i="1"/>
  <c r="D224" i="1"/>
  <c r="C224" i="1"/>
  <c r="B224" i="1"/>
  <c r="A224" i="1"/>
  <c r="E225" i="1"/>
  <c r="D225" i="1"/>
  <c r="C225" i="1"/>
  <c r="B225" i="1"/>
  <c r="A225" i="1"/>
  <c r="E226" i="1"/>
  <c r="D226" i="1"/>
  <c r="C226" i="1"/>
  <c r="B226" i="1"/>
  <c r="A226" i="1"/>
  <c r="E227" i="1"/>
  <c r="D227" i="1"/>
  <c r="C227" i="1"/>
  <c r="B227" i="1"/>
  <c r="A227" i="1"/>
  <c r="E228" i="1"/>
  <c r="D228" i="1"/>
  <c r="C228" i="1"/>
  <c r="B228" i="1"/>
  <c r="A228" i="1"/>
  <c r="E229" i="1"/>
  <c r="D229" i="1"/>
  <c r="C229" i="1"/>
  <c r="B229" i="1"/>
  <c r="A229" i="1"/>
  <c r="E1" i="1"/>
  <c r="D1" i="1"/>
  <c r="C1" i="1"/>
  <c r="B1" i="1"/>
</calcChain>
</file>

<file path=xl/sharedStrings.xml><?xml version="1.0" encoding="utf-8"?>
<sst xmlns="http://schemas.openxmlformats.org/spreadsheetml/2006/main" count="1" uniqueCount="1">
  <si>
    <t>SPEEDY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</si>
</sst>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9769-6A4B-41BF-BCC5-C8F239C823B2}">
  <dimension ref="A1:E229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10.42578125" bestFit="1" customWidth="1"/>
    <col min="2" max="2" width="13.140625" bestFit="1" customWidth="1"/>
    <col min="3" max="3" width="91.28515625" bestFit="1" customWidth="1"/>
    <col min="4" max="4" width="10.140625" bestFit="1" customWidth="1"/>
    <col min="5" max="5" width="9.42578125" bestFit="1" customWidth="1"/>
  </cols>
  <sheetData>
    <row r="1" spans="1:5" x14ac:dyDescent="0.25">
      <c r="A1" s="1" t="s">
        <v>0</v>
      </c>
      <c r="B1" s="1" t="str">
        <f>"UPC"</f>
        <v>UPC</v>
      </c>
      <c r="C1" s="1" t="str">
        <f>"TITLE"</f>
        <v>TITLE</v>
      </c>
      <c r="D1" s="1" t="str">
        <f>"MFG_ID"</f>
        <v>MFG_ID</v>
      </c>
      <c r="E1" s="1" t="str">
        <f>"DAY08"</f>
        <v>DAY08</v>
      </c>
    </row>
    <row r="2" spans="1:5" x14ac:dyDescent="0.25">
      <c r="A2" t="str">
        <f>"349488"</f>
        <v>349488</v>
      </c>
      <c r="B2" t="str">
        <f>"81983778148"</f>
        <v>81983778148</v>
      </c>
      <c r="C2" t="str">
        <f>"EVERYDAY COUNTER-RELATIVE BIRTHDAY PKG/6-U0435"</f>
        <v>EVERYDAY COUNTER-RELATIVE BIRTHDAY PKG/6-U0435</v>
      </c>
      <c r="D2" t="str">
        <f>"U0435"</f>
        <v>U0435</v>
      </c>
      <c r="E2" t="str">
        <f>"ED08A001"</f>
        <v>ED08A001</v>
      </c>
    </row>
    <row r="3" spans="1:5" x14ac:dyDescent="0.25">
      <c r="A3" t="str">
        <f>"349520"</f>
        <v>349520</v>
      </c>
      <c r="B3" t="str">
        <f>"81983778315"</f>
        <v>81983778315</v>
      </c>
      <c r="C3" t="str">
        <f>"EVERYDAY COUNTER-RELATIVE BIRTHDAY PKG/6-U0452"</f>
        <v>EVERYDAY COUNTER-RELATIVE BIRTHDAY PKG/6-U0452</v>
      </c>
      <c r="D3" t="str">
        <f>"U0452"</f>
        <v>U0452</v>
      </c>
      <c r="E3" t="str">
        <f>"ED08A002"</f>
        <v>ED08A002</v>
      </c>
    </row>
    <row r="4" spans="1:5" x14ac:dyDescent="0.25">
      <c r="A4" t="str">
        <f>"349519"</f>
        <v>349519</v>
      </c>
      <c r="B4" t="str">
        <f>"81983778308"</f>
        <v>81983778308</v>
      </c>
      <c r="C4" t="str">
        <f>"EVERYDAY COUNTER-RELATIVE BIRTHDAY PKG/6-U0451"</f>
        <v>EVERYDAY COUNTER-RELATIVE BIRTHDAY PKG/6-U0451</v>
      </c>
      <c r="D4" t="str">
        <f>"U0451"</f>
        <v>U0451</v>
      </c>
      <c r="E4" t="str">
        <f>"ED08A003"</f>
        <v>ED08A003</v>
      </c>
    </row>
    <row r="5" spans="1:5" x14ac:dyDescent="0.25">
      <c r="A5" t="str">
        <f>"349472"</f>
        <v>349472</v>
      </c>
      <c r="B5" t="str">
        <f>"81983778100"</f>
        <v>81983778100</v>
      </c>
      <c r="C5" t="str">
        <f>"EVERYDAY COUNTER-RELATIVE BIRTHDAY PKG/6-U0431"</f>
        <v>EVERYDAY COUNTER-RELATIVE BIRTHDAY PKG/6-U0431</v>
      </c>
      <c r="D5" t="str">
        <f>"U0431"</f>
        <v>U0431</v>
      </c>
      <c r="E5" t="str">
        <f>"ED08A004"</f>
        <v>ED08A004</v>
      </c>
    </row>
    <row r="6" spans="1:5" x14ac:dyDescent="0.25">
      <c r="A6" t="str">
        <f>"349462"</f>
        <v>349462</v>
      </c>
      <c r="B6" t="str">
        <f>"81983777714"</f>
        <v>81983777714</v>
      </c>
      <c r="C6" t="str">
        <f>"EVERYDAY COUNTER-BIRTHDAY PKG/6-U0392"</f>
        <v>EVERYDAY COUNTER-BIRTHDAY PKG/6-U0392</v>
      </c>
      <c r="D6" t="str">
        <f>"U0392"</f>
        <v>U0392</v>
      </c>
      <c r="E6" t="str">
        <f>"ED08A005"</f>
        <v>ED08A005</v>
      </c>
    </row>
    <row r="7" spans="1:5" x14ac:dyDescent="0.25">
      <c r="A7" t="str">
        <f>"349468"</f>
        <v>349468</v>
      </c>
      <c r="B7" t="str">
        <f>"81983777745"</f>
        <v>81983777745</v>
      </c>
      <c r="C7" t="str">
        <f>"EVERYDAY COUNTER-BIRTHDAY PKG/6-U0395"</f>
        <v>EVERYDAY COUNTER-BIRTHDAY PKG/6-U0395</v>
      </c>
      <c r="D7" t="str">
        <f>"U0395"</f>
        <v>U0395</v>
      </c>
      <c r="E7" t="str">
        <f>"ED08A006"</f>
        <v>ED08A006</v>
      </c>
    </row>
    <row r="8" spans="1:5" x14ac:dyDescent="0.25">
      <c r="A8" t="str">
        <f>"345267"</f>
        <v>345267</v>
      </c>
      <c r="B8" t="str">
        <f>"81983793868"</f>
        <v>81983793868</v>
      </c>
      <c r="C8" t="str">
        <f>"EVERYDAY COUNTER-WEDDING PKG/6-U2602"</f>
        <v>EVERYDAY COUNTER-WEDDING PKG/6-U2602</v>
      </c>
      <c r="D8" t="str">
        <f>"U2602"</f>
        <v>U2602</v>
      </c>
      <c r="E8" t="str">
        <f>"ED08A007"</f>
        <v>ED08A007</v>
      </c>
    </row>
    <row r="9" spans="1:5" x14ac:dyDescent="0.25">
      <c r="A9" t="str">
        <f>"308136"</f>
        <v>308136</v>
      </c>
      <c r="B9" t="str">
        <f>"81983771699"</f>
        <v>81983771699</v>
      </c>
      <c r="C9" t="str">
        <f>"EVERYDAY COUNTER-ANNIVERSARY-HUSBAND/MY LOVE PKG/6-J9881"</f>
        <v>EVERYDAY COUNTER-ANNIVERSARY-HUSBAND/MY LOVE PKG/6-J9881</v>
      </c>
      <c r="D9" t="str">
        <f>"J9881"</f>
        <v>J9881</v>
      </c>
      <c r="E9" t="str">
        <f>"ED08A008"</f>
        <v>ED08A008</v>
      </c>
    </row>
    <row r="10" spans="1:5" x14ac:dyDescent="0.25">
      <c r="A10" t="str">
        <f>"349490"</f>
        <v>349490</v>
      </c>
      <c r="B10" t="str">
        <f>"81983778131"</f>
        <v>81983778131</v>
      </c>
      <c r="C10" t="str">
        <f>"EVERYDAY COUNTER-RELATIVE BIRTHDAY PKG/6-U0434"</f>
        <v>EVERYDAY COUNTER-RELATIVE BIRTHDAY PKG/6-U0434</v>
      </c>
      <c r="D10" t="str">
        <f>"U0434"</f>
        <v>U0434</v>
      </c>
      <c r="E10" t="str">
        <f>"ED08A009"</f>
        <v>ED08A009</v>
      </c>
    </row>
    <row r="11" spans="1:5" x14ac:dyDescent="0.25">
      <c r="A11" t="str">
        <f>"308329"</f>
        <v>308329</v>
      </c>
      <c r="B11" t="str">
        <f>"81983685736"</f>
        <v>81983685736</v>
      </c>
      <c r="C11" t="str">
        <f>"EVERYDAY COUNTER-BIRTHDAY WIFE PKG/6-J0359"</f>
        <v>EVERYDAY COUNTER-BIRTHDAY WIFE PKG/6-J0359</v>
      </c>
      <c r="D11" t="str">
        <f>"J0359"</f>
        <v>J0359</v>
      </c>
      <c r="E11" t="str">
        <f>"ED08A010"</f>
        <v>ED08A010</v>
      </c>
    </row>
    <row r="12" spans="1:5" x14ac:dyDescent="0.25">
      <c r="A12" t="str">
        <f>"349507"</f>
        <v>349507</v>
      </c>
      <c r="B12" t="str">
        <f>"81983778193"</f>
        <v>81983778193</v>
      </c>
      <c r="C12" t="str">
        <f>"EVERYDAY COUNTER-RELATIVE BIRTHDAY PKG/6-U0440"</f>
        <v>EVERYDAY COUNTER-RELATIVE BIRTHDAY PKG/6-U0440</v>
      </c>
      <c r="D12" t="str">
        <f>"U0440"</f>
        <v>U0440</v>
      </c>
      <c r="E12" t="str">
        <f>"ED08A011"</f>
        <v>ED08A011</v>
      </c>
    </row>
    <row r="13" spans="1:5" x14ac:dyDescent="0.25">
      <c r="A13" t="str">
        <f>"298690"</f>
        <v>298690</v>
      </c>
      <c r="B13" t="str">
        <f>"81983773808"</f>
        <v>81983773808</v>
      </c>
      <c r="C13" t="str">
        <f>"EVERYDAY COUNTER-BIRTHDAY HUSBAND PKG/6-10266"</f>
        <v>EVERYDAY COUNTER-BIRTHDAY HUSBAND PKG/6-10266</v>
      </c>
      <c r="D13" t="str">
        <f>"10266"</f>
        <v>10266</v>
      </c>
      <c r="E13" t="str">
        <f>"ED08A012"</f>
        <v>ED08A012</v>
      </c>
    </row>
    <row r="14" spans="1:5" x14ac:dyDescent="0.25">
      <c r="A14" t="str">
        <f>"349464"</f>
        <v>349464</v>
      </c>
      <c r="B14" t="str">
        <f>"81983777585"</f>
        <v>81983777585</v>
      </c>
      <c r="C14" t="str">
        <f>"EVERYDAY COUNTER-BIRTHDAY PKG/6-U0379"</f>
        <v>EVERYDAY COUNTER-BIRTHDAY PKG/6-U0379</v>
      </c>
      <c r="D14" t="str">
        <f>"U0379"</f>
        <v>U0379</v>
      </c>
      <c r="E14" t="str">
        <f>"ED08A013"</f>
        <v>ED08A013</v>
      </c>
    </row>
    <row r="15" spans="1:5" x14ac:dyDescent="0.25">
      <c r="A15" t="str">
        <f>"349466"</f>
        <v>349466</v>
      </c>
      <c r="B15" t="str">
        <f>"81983777738"</f>
        <v>81983777738</v>
      </c>
      <c r="C15" t="str">
        <f>"EVERYDAY COUNTER-BIRTHDAY PKG/6-U0394"</f>
        <v>EVERYDAY COUNTER-BIRTHDAY PKG/6-U0394</v>
      </c>
      <c r="D15" t="str">
        <f>"U0394"</f>
        <v>U0394</v>
      </c>
      <c r="E15" t="str">
        <f>"ED08A014"</f>
        <v>ED08A014</v>
      </c>
    </row>
    <row r="16" spans="1:5" x14ac:dyDescent="0.25">
      <c r="A16" t="str">
        <f>"345266"</f>
        <v>345266</v>
      </c>
      <c r="B16" t="str">
        <f>"81983793851"</f>
        <v>81983793851</v>
      </c>
      <c r="C16" t="str">
        <f>"EVERYDAY COUNTER-WEDDING PKG/6-U2601"</f>
        <v>EVERYDAY COUNTER-WEDDING PKG/6-U2601</v>
      </c>
      <c r="D16" t="str">
        <f>"U2601"</f>
        <v>U2601</v>
      </c>
      <c r="E16" t="str">
        <f>"ED08A015"</f>
        <v>ED08A015</v>
      </c>
    </row>
    <row r="17" spans="1:5" x14ac:dyDescent="0.25">
      <c r="A17" t="str">
        <f>"308199"</f>
        <v>308199</v>
      </c>
      <c r="B17" t="str">
        <f>"81983677106"</f>
        <v>81983677106</v>
      </c>
      <c r="C17" t="str">
        <f>"EVERYDAY COUNTER-ANNIVERSARY HUSBAND PKG/6-91974"</f>
        <v>EVERYDAY COUNTER-ANNIVERSARY HUSBAND PKG/6-91974</v>
      </c>
      <c r="D17" t="str">
        <f>"91974"</f>
        <v>91974</v>
      </c>
      <c r="E17" t="str">
        <f>"ED08A016"</f>
        <v>ED08A016</v>
      </c>
    </row>
    <row r="18" spans="1:5" x14ac:dyDescent="0.25">
      <c r="A18" t="str">
        <f>"349491"</f>
        <v>349491</v>
      </c>
      <c r="B18" t="str">
        <f>"81983778124"</f>
        <v>81983778124</v>
      </c>
      <c r="C18" t="str">
        <f>"EVERYDAY COUNTER-RELATIVE BIRTHDAY PKG/6-U0433"</f>
        <v>EVERYDAY COUNTER-RELATIVE BIRTHDAY PKG/6-U0433</v>
      </c>
      <c r="D18" t="str">
        <f>"U0433"</f>
        <v>U0433</v>
      </c>
      <c r="E18" t="str">
        <f>"ED08A017"</f>
        <v>ED08A017</v>
      </c>
    </row>
    <row r="19" spans="1:5" x14ac:dyDescent="0.25">
      <c r="A19" t="str">
        <f>"279515"</f>
        <v>279515</v>
      </c>
      <c r="B19" t="str">
        <f>"81983738722"</f>
        <v>81983738722</v>
      </c>
      <c r="C19" t="str">
        <f>"EVERYDAY COUNTER-REL BD  MOTHER-IN-LAW PKG/6-J5539"</f>
        <v>EVERYDAY COUNTER-REL BD  MOTHER-IN-LAW PKG/6-J5539</v>
      </c>
      <c r="D19" t="str">
        <f>"J5539"</f>
        <v>J5539</v>
      </c>
      <c r="E19" t="str">
        <f>"ED08A018"</f>
        <v>ED08A018</v>
      </c>
    </row>
    <row r="20" spans="1:5" x14ac:dyDescent="0.25">
      <c r="A20" t="str">
        <f>"349508"</f>
        <v>349508</v>
      </c>
      <c r="B20" t="str">
        <f>"81983778209"</f>
        <v>81983778209</v>
      </c>
      <c r="C20" t="str">
        <f>"EVERYDAY COUNTER-RELATIVE BIRTHDAY PKG/6-U0441"</f>
        <v>EVERYDAY COUNTER-RELATIVE BIRTHDAY PKG/6-U0441</v>
      </c>
      <c r="D20" t="str">
        <f>"U0441"</f>
        <v>U0441</v>
      </c>
      <c r="E20" t="str">
        <f>"ED08A019"</f>
        <v>ED08A019</v>
      </c>
    </row>
    <row r="21" spans="1:5" x14ac:dyDescent="0.25">
      <c r="A21" t="str">
        <f>"308309"</f>
        <v>308309</v>
      </c>
      <c r="B21" t="str">
        <f>"81983685521"</f>
        <v>81983685521</v>
      </c>
      <c r="C21" t="str">
        <f>"EVERYDAY COUNTER-BIRTHDAY HUSBAND PKG/6-J0338"</f>
        <v>EVERYDAY COUNTER-BIRTHDAY HUSBAND PKG/6-J0338</v>
      </c>
      <c r="D21" t="str">
        <f>"J0338"</f>
        <v>J0338</v>
      </c>
      <c r="E21" t="str">
        <f>"ED08A020"</f>
        <v>ED08A020</v>
      </c>
    </row>
    <row r="22" spans="1:5" x14ac:dyDescent="0.25">
      <c r="A22" t="str">
        <f>"279457"</f>
        <v>279457</v>
      </c>
      <c r="B22" t="str">
        <f>"81983772979"</f>
        <v>81983772979</v>
      </c>
      <c r="C22" t="str">
        <f>"EVERYDAY COUNTER-BIRTHDAY 3RD GIRL PKG/6-J5496"</f>
        <v>EVERYDAY COUNTER-BIRTHDAY 3RD GIRL PKG/6-J5496</v>
      </c>
      <c r="D22" t="str">
        <f>"J5496"</f>
        <v>J5496</v>
      </c>
      <c r="E22" t="str">
        <f>"ED08A021"</f>
        <v>ED08A021</v>
      </c>
    </row>
    <row r="23" spans="1:5" x14ac:dyDescent="0.25">
      <c r="A23" t="str">
        <f>"279460"</f>
        <v>279460</v>
      </c>
      <c r="B23" t="str">
        <f>"81983738319"</f>
        <v>81983738319</v>
      </c>
      <c r="C23" t="str">
        <f>"EVERYDAY COUNTER-BIRTHDAY CHILD PKG/6-J5498"</f>
        <v>EVERYDAY COUNTER-BIRTHDAY CHILD PKG/6-J5498</v>
      </c>
      <c r="D23" t="str">
        <f>"J5498"</f>
        <v>J5498</v>
      </c>
      <c r="E23" t="str">
        <f>"ED08A022"</f>
        <v>ED08A022</v>
      </c>
    </row>
    <row r="24" spans="1:5" x14ac:dyDescent="0.25">
      <c r="A24" t="str">
        <f>"308120"</f>
        <v>308120</v>
      </c>
      <c r="B24" t="str">
        <f>"81983772368"</f>
        <v>81983772368</v>
      </c>
      <c r="C24" t="str">
        <f>"EVERYDAY COUNTER-WEDDING-J9948"</f>
        <v>EVERYDAY COUNTER-WEDDING-J9948</v>
      </c>
      <c r="D24" t="str">
        <f>"J9948"</f>
        <v>J9948</v>
      </c>
      <c r="E24" t="str">
        <f>"ED08A023"</f>
        <v>ED08A023</v>
      </c>
    </row>
    <row r="25" spans="1:5" x14ac:dyDescent="0.25">
      <c r="A25" t="str">
        <f>"308106"</f>
        <v>308106</v>
      </c>
      <c r="B25" t="str">
        <f>"81983771705"</f>
        <v>81983771705</v>
      </c>
      <c r="C25" t="str">
        <f>"EVERYDAY COUNTER-HUSBAND ANNIVERSARY-J9882"</f>
        <v>EVERYDAY COUNTER-HUSBAND ANNIVERSARY-J9882</v>
      </c>
      <c r="D25" t="str">
        <f>"J9882"</f>
        <v>J9882</v>
      </c>
      <c r="E25" t="str">
        <f>"ED08A024"</f>
        <v>ED08A024</v>
      </c>
    </row>
    <row r="26" spans="1:5" x14ac:dyDescent="0.25">
      <c r="A26" t="str">
        <f>"349487"</f>
        <v>349487</v>
      </c>
      <c r="B26" t="str">
        <f>"81983778117"</f>
        <v>81983778117</v>
      </c>
      <c r="C26" t="str">
        <f>"EVERYDAY COUNTER-RELATIVE BIRTHDAY PKG/6-U0432"</f>
        <v>EVERYDAY COUNTER-RELATIVE BIRTHDAY PKG/6-U0432</v>
      </c>
      <c r="D26" t="str">
        <f>"U0432"</f>
        <v>U0432</v>
      </c>
      <c r="E26" t="str">
        <f>"ED08A025"</f>
        <v>ED08A025</v>
      </c>
    </row>
    <row r="27" spans="1:5" x14ac:dyDescent="0.25">
      <c r="A27" t="str">
        <f>"349511"</f>
        <v>349511</v>
      </c>
      <c r="B27" t="str">
        <f>"81983778230"</f>
        <v>81983778230</v>
      </c>
      <c r="C27" t="str">
        <f>"EVERYDAY COUNTER-RELATIVE BIRTHDAY PKG/6-U0444"</f>
        <v>EVERYDAY COUNTER-RELATIVE BIRTHDAY PKG/6-U0444</v>
      </c>
      <c r="D27" t="str">
        <f>"U0444"</f>
        <v>U0444</v>
      </c>
      <c r="E27" t="str">
        <f>"ED08A026"</f>
        <v>ED08A026</v>
      </c>
    </row>
    <row r="28" spans="1:5" x14ac:dyDescent="0.25">
      <c r="A28" t="str">
        <f>"279753"</f>
        <v>279753</v>
      </c>
      <c r="B28" t="str">
        <f>"81983773969"</f>
        <v>81983773969</v>
      </c>
      <c r="C28" t="str">
        <f>"EVERYDAY COUNTER-RELATIVE BD ONE I LOVE MASC PKG/6-J9041"</f>
        <v>EVERYDAY COUNTER-RELATIVE BD ONE I LOVE MASC PKG/6-J9041</v>
      </c>
      <c r="D28" t="str">
        <f>"J9041"</f>
        <v>J9041</v>
      </c>
      <c r="E28" t="str">
        <f>"ED08A027"</f>
        <v>ED08A027</v>
      </c>
    </row>
    <row r="29" spans="1:5" x14ac:dyDescent="0.25">
      <c r="A29" t="str">
        <f>"349460"</f>
        <v>349460</v>
      </c>
      <c r="B29" t="str">
        <f>"81983778063"</f>
        <v>81983778063</v>
      </c>
      <c r="C29" t="str">
        <f>"EVERYDAY COUNTER-RELATIVE BIRTHDAY PKG/6-U0427"</f>
        <v>EVERYDAY COUNTER-RELATIVE BIRTHDAY PKG/6-U0427</v>
      </c>
      <c r="D29" t="str">
        <f>"U0427"</f>
        <v>U0427</v>
      </c>
      <c r="E29" t="str">
        <f>"ED08A028"</f>
        <v>ED08A028</v>
      </c>
    </row>
    <row r="30" spans="1:5" x14ac:dyDescent="0.25">
      <c r="A30" t="str">
        <f>"308362"</f>
        <v>308362</v>
      </c>
      <c r="B30" t="str">
        <f>"81983714726"</f>
        <v>81983714726</v>
      </c>
      <c r="C30" t="str">
        <f>"EVERYDAY COUNTER-BD 50 FOR ANYONE PKG/6-J2698"</f>
        <v>EVERYDAY COUNTER-BD 50 FOR ANYONE PKG/6-J2698</v>
      </c>
      <c r="D30" t="str">
        <f>"J2698"</f>
        <v>J2698</v>
      </c>
      <c r="E30" t="str">
        <f>"ED08A029"</f>
        <v>ED08A029</v>
      </c>
    </row>
    <row r="31" spans="1:5" x14ac:dyDescent="0.25">
      <c r="A31" t="str">
        <f>"308168"</f>
        <v>308168</v>
      </c>
      <c r="B31" t="str">
        <f>"81983528514"</f>
        <v>81983528514</v>
      </c>
      <c r="C31" t="str">
        <f>"EVERYDAY COUNTER-CHILD MULTI-YEAR-84556"</f>
        <v>EVERYDAY COUNTER-CHILD MULTI-YEAR-84556</v>
      </c>
      <c r="D31" t="str">
        <f>"84556"</f>
        <v>84556</v>
      </c>
      <c r="E31" t="str">
        <f>"ED08A030"</f>
        <v>ED08A030</v>
      </c>
    </row>
    <row r="32" spans="1:5" x14ac:dyDescent="0.25">
      <c r="A32" t="str">
        <f>"298741"</f>
        <v>298741</v>
      </c>
      <c r="B32" t="str">
        <f>"81983772375"</f>
        <v>81983772375</v>
      </c>
      <c r="C32" t="str">
        <f>"EVERYDAY COUNTER-WEDDING-J9949"</f>
        <v>EVERYDAY COUNTER-WEDDING-J9949</v>
      </c>
      <c r="D32" t="str">
        <f>"J9949"</f>
        <v>J9949</v>
      </c>
      <c r="E32" t="str">
        <f>"ED08A031"</f>
        <v>ED08A031</v>
      </c>
    </row>
    <row r="33" spans="1:5" x14ac:dyDescent="0.25">
      <c r="A33" t="str">
        <f>"298744"</f>
        <v>298744</v>
      </c>
      <c r="B33" t="str">
        <f>"81983771712"</f>
        <v>81983771712</v>
      </c>
      <c r="C33" t="str">
        <f>"EVERYDAY COUNTER-ANNIVERSARY-HUSBAND PKG/6-J9883"</f>
        <v>EVERYDAY COUNTER-ANNIVERSARY-HUSBAND PKG/6-J9883</v>
      </c>
      <c r="D33" t="str">
        <f>"J9883"</f>
        <v>J9883</v>
      </c>
      <c r="E33" t="str">
        <f>"ED08A032"</f>
        <v>ED08A032</v>
      </c>
    </row>
    <row r="34" spans="1:5" x14ac:dyDescent="0.25">
      <c r="A34" t="str">
        <f>"380075"</f>
        <v>380075</v>
      </c>
      <c r="B34" t="str">
        <f>"81983603631"</f>
        <v>81983603631</v>
      </c>
      <c r="C34" t="str">
        <f>"EVERYDAY COUNTER-BIRTHDAY MOM PKG/6-27204"</f>
        <v>EVERYDAY COUNTER-BIRTHDAY MOM PKG/6-27204</v>
      </c>
      <c r="D34" t="str">
        <f>"27204"</f>
        <v>27204</v>
      </c>
      <c r="E34" t="str">
        <f>"ED08A033"</f>
        <v>ED08A033</v>
      </c>
    </row>
    <row r="35" spans="1:5" x14ac:dyDescent="0.25">
      <c r="A35" t="str">
        <f>"349512"</f>
        <v>349512</v>
      </c>
      <c r="B35" t="str">
        <f>"81983778223"</f>
        <v>81983778223</v>
      </c>
      <c r="C35" t="str">
        <f>"EVERYDAY COUNTER-RELATIVE BIRTHDAY PKG/6-U0443"</f>
        <v>EVERYDAY COUNTER-RELATIVE BIRTHDAY PKG/6-U0443</v>
      </c>
      <c r="D35" t="str">
        <f>"U0443"</f>
        <v>U0443</v>
      </c>
      <c r="E35" t="str">
        <f>"ED08A034"</f>
        <v>ED08A034</v>
      </c>
    </row>
    <row r="36" spans="1:5" x14ac:dyDescent="0.25">
      <c r="A36" t="str">
        <f>"349450"</f>
        <v>349450</v>
      </c>
      <c r="B36" t="str">
        <f>"81983777998"</f>
        <v>81983777998</v>
      </c>
      <c r="C36" t="str">
        <f>"EVERYDAY COUNTER-RELATIVE BIRTHDAY PKG/6-U0420"</f>
        <v>EVERYDAY COUNTER-RELATIVE BIRTHDAY PKG/6-U0420</v>
      </c>
      <c r="D36" t="str">
        <f>"U0420"</f>
        <v>U0420</v>
      </c>
      <c r="E36" t="str">
        <f>"ED08A035"</f>
        <v>ED08A035</v>
      </c>
    </row>
    <row r="37" spans="1:5" x14ac:dyDescent="0.25">
      <c r="A37" t="str">
        <f>"298715"</f>
        <v>298715</v>
      </c>
      <c r="B37" t="str">
        <f>"81983773617"</f>
        <v>81983773617</v>
      </c>
      <c r="C37" t="str">
        <f>"EVERYDAY COUNTER-BIRTHDAY DAD PKG/6-10300"</f>
        <v>EVERYDAY COUNTER-BIRTHDAY DAD PKG/6-10300</v>
      </c>
      <c r="D37" t="str">
        <f>"10300"</f>
        <v>10300</v>
      </c>
      <c r="E37" t="str">
        <f>"ED08A036"</f>
        <v>ED08A036</v>
      </c>
    </row>
    <row r="38" spans="1:5" x14ac:dyDescent="0.25">
      <c r="A38" t="str">
        <f>"308365"</f>
        <v>308365</v>
      </c>
      <c r="B38" t="str">
        <f>"81983714757"</f>
        <v>81983714757</v>
      </c>
      <c r="C38" t="str">
        <f>"EVERYDAY COUNTER-BD 60 FOR ANYONE PKG/6-J2701"</f>
        <v>EVERYDAY COUNTER-BD 60 FOR ANYONE PKG/6-J2701</v>
      </c>
      <c r="D38" t="str">
        <f>"J2701"</f>
        <v>J2701</v>
      </c>
      <c r="E38" t="str">
        <f>"ED08A037"</f>
        <v>ED08A037</v>
      </c>
    </row>
    <row r="39" spans="1:5" x14ac:dyDescent="0.25">
      <c r="A39" t="str">
        <f>"308367"</f>
        <v>308367</v>
      </c>
      <c r="B39" t="str">
        <f>"81983714771"</f>
        <v>81983714771</v>
      </c>
      <c r="C39" t="str">
        <f>"EVERYDAY COUNTER-BD 70 FOR ANYONE PKG/6-J2703"</f>
        <v>EVERYDAY COUNTER-BD 70 FOR ANYONE PKG/6-J2703</v>
      </c>
      <c r="D39" t="str">
        <f>"J2703"</f>
        <v>J2703</v>
      </c>
      <c r="E39" t="str">
        <f>"ED08A038"</f>
        <v>ED08A038</v>
      </c>
    </row>
    <row r="40" spans="1:5" x14ac:dyDescent="0.25">
      <c r="A40" t="str">
        <f>"308264"</f>
        <v>308264</v>
      </c>
      <c r="B40" t="str">
        <f>"81983679575"</f>
        <v>81983679575</v>
      </c>
      <c r="C40" t="str">
        <f>"EVERYDAY COUNTER-WEDDING PKG/6-93235"</f>
        <v>EVERYDAY COUNTER-WEDDING PKG/6-93235</v>
      </c>
      <c r="D40" t="str">
        <f>"93235"</f>
        <v>93235</v>
      </c>
      <c r="E40" t="str">
        <f>"ED08A039"</f>
        <v>ED08A039</v>
      </c>
    </row>
    <row r="41" spans="1:5" x14ac:dyDescent="0.25">
      <c r="A41" t="str">
        <f>"307927"</f>
        <v>307927</v>
      </c>
      <c r="B41" t="str">
        <f>"81983678486"</f>
        <v>81983678486</v>
      </c>
      <c r="C41" t="str">
        <f>"EVERYDAY COUNTER-ANN-HUSBAND PKG/6-44449"</f>
        <v>EVERYDAY COUNTER-ANN-HUSBAND PKG/6-44449</v>
      </c>
      <c r="D41" t="str">
        <f>"44449"</f>
        <v>44449</v>
      </c>
      <c r="E41" t="str">
        <f>"ED08A040"</f>
        <v>ED08A040</v>
      </c>
    </row>
    <row r="42" spans="1:5" x14ac:dyDescent="0.25">
      <c r="A42" t="str">
        <f>"308272"</f>
        <v>308272</v>
      </c>
      <c r="B42" t="str">
        <f>"81983682483"</f>
        <v>81983682483</v>
      </c>
      <c r="C42" t="str">
        <f>"EVERYDAY COUNTER-RELATIVE BDAY-MOTHER PKG/6-J0022"</f>
        <v>EVERYDAY COUNTER-RELATIVE BDAY-MOTHER PKG/6-J0022</v>
      </c>
      <c r="D42" t="str">
        <f>"J0022"</f>
        <v>J0022</v>
      </c>
      <c r="E42" t="str">
        <f>"ED08A041"</f>
        <v>ED08A041</v>
      </c>
    </row>
    <row r="43" spans="1:5" x14ac:dyDescent="0.25">
      <c r="A43" t="str">
        <f>"349509"</f>
        <v>349509</v>
      </c>
      <c r="B43" t="str">
        <f>"81983778216"</f>
        <v>81983778216</v>
      </c>
      <c r="C43" t="str">
        <f>"EVERYDAY COUNTER-RELATIVE BIRTHDAY PKG/6-U0442"</f>
        <v>EVERYDAY COUNTER-RELATIVE BIRTHDAY PKG/6-U0442</v>
      </c>
      <c r="D43" t="str">
        <f>"U0442"</f>
        <v>U0442</v>
      </c>
      <c r="E43" t="str">
        <f>"ED08A042"</f>
        <v>ED08A042</v>
      </c>
    </row>
    <row r="44" spans="1:5" x14ac:dyDescent="0.25">
      <c r="A44" t="str">
        <f>"349452"</f>
        <v>349452</v>
      </c>
      <c r="B44" t="str">
        <f>"81983777981"</f>
        <v>81983777981</v>
      </c>
      <c r="C44" t="str">
        <f>"EVERYDAY COUNTER-RELATIVE BIRTHDAY PKG/6-U0419"</f>
        <v>EVERYDAY COUNTER-RELATIVE BIRTHDAY PKG/6-U0419</v>
      </c>
      <c r="D44" t="str">
        <f>"U0419"</f>
        <v>U0419</v>
      </c>
      <c r="E44" t="str">
        <f>"ED08A043"</f>
        <v>ED08A043</v>
      </c>
    </row>
    <row r="45" spans="1:5" x14ac:dyDescent="0.25">
      <c r="A45" t="str">
        <f>"298790"</f>
        <v>298790</v>
      </c>
      <c r="B45" t="str">
        <f>"81983603389"</f>
        <v>81983603389</v>
      </c>
      <c r="C45" t="str">
        <f>"EVERYDAY COUNTER-DAD-39185"</f>
        <v>EVERYDAY COUNTER-DAD-39185</v>
      </c>
      <c r="D45" t="str">
        <f>"39185"</f>
        <v>39185</v>
      </c>
      <c r="E45" t="str">
        <f>"ED08A044"</f>
        <v>ED08A044</v>
      </c>
    </row>
    <row r="46" spans="1:5" x14ac:dyDescent="0.25">
      <c r="A46" t="str">
        <f>"279680"</f>
        <v>279680</v>
      </c>
      <c r="B46" t="str">
        <f>"81983763724"</f>
        <v>81983763724</v>
      </c>
      <c r="C46" t="str">
        <f>"EVERYDAY COUNTER-BIRTHDAY 80TH PKG/6-J8983"</f>
        <v>EVERYDAY COUNTER-BIRTHDAY 80TH PKG/6-J8983</v>
      </c>
      <c r="D46" t="str">
        <f>"J8983"</f>
        <v>J8983</v>
      </c>
      <c r="E46" t="str">
        <f>"ED08A045"</f>
        <v>ED08A045</v>
      </c>
    </row>
    <row r="47" spans="1:5" x14ac:dyDescent="0.25">
      <c r="A47" t="str">
        <f>"308368"</f>
        <v>308368</v>
      </c>
      <c r="B47" t="str">
        <f>"81983714788"</f>
        <v>81983714788</v>
      </c>
      <c r="C47" t="str">
        <f>"EVERYDAY COUNTER-BIRTHDAY MULTI-YEAR PKG/6-J2704"</f>
        <v>EVERYDAY COUNTER-BIRTHDAY MULTI-YEAR PKG/6-J2704</v>
      </c>
      <c r="D47" t="str">
        <f>"J2704"</f>
        <v>J2704</v>
      </c>
      <c r="E47" t="str">
        <f>"ED08A046"</f>
        <v>ED08A046</v>
      </c>
    </row>
    <row r="48" spans="1:5" x14ac:dyDescent="0.25">
      <c r="A48" t="str">
        <f>"308116"</f>
        <v>308116</v>
      </c>
      <c r="B48" t="str">
        <f>"81983678615"</f>
        <v>81983678615</v>
      </c>
      <c r="C48" t="str">
        <f>"EVERYDAY COUNTER-WEDDING/JOINED TOGETHER RINGS-78842"</f>
        <v>EVERYDAY COUNTER-WEDDING/JOINED TOGETHER RINGS-78842</v>
      </c>
      <c r="D48" t="str">
        <f>"78842"</f>
        <v>78842</v>
      </c>
      <c r="E48" t="str">
        <f>"ED08A047"</f>
        <v>ED08A047</v>
      </c>
    </row>
    <row r="49" spans="1:5" x14ac:dyDescent="0.25">
      <c r="A49" t="str">
        <f>"308119"</f>
        <v>308119</v>
      </c>
      <c r="B49" t="str">
        <f>"81983678639"</f>
        <v>81983678639</v>
      </c>
      <c r="C49" t="str">
        <f>"EVERYDAY COUNTER-WEDDING-78848"</f>
        <v>EVERYDAY COUNTER-WEDDING-78848</v>
      </c>
      <c r="D49" t="str">
        <f>"78848"</f>
        <v>78848</v>
      </c>
      <c r="E49" t="str">
        <f>"ED08A048"</f>
        <v>ED08A048</v>
      </c>
    </row>
    <row r="50" spans="1:5" x14ac:dyDescent="0.25">
      <c r="A50" t="str">
        <f>"349492"</f>
        <v>349492</v>
      </c>
      <c r="B50" t="str">
        <f>"81983778162"</f>
        <v>81983778162</v>
      </c>
      <c r="C50" t="str">
        <f>"EVERYDAY COUNTER-RELATIVE BIRTHDAY PKG/6-U0437"</f>
        <v>EVERYDAY COUNTER-RELATIVE BIRTHDAY PKG/6-U0437</v>
      </c>
      <c r="D50" t="str">
        <f>"U0437"</f>
        <v>U0437</v>
      </c>
      <c r="E50" t="str">
        <f>"ED08A049"</f>
        <v>ED08A049</v>
      </c>
    </row>
    <row r="51" spans="1:5" x14ac:dyDescent="0.25">
      <c r="A51" t="str">
        <f>"298694"</f>
        <v>298694</v>
      </c>
      <c r="B51" t="str">
        <f>"81983652257"</f>
        <v>81983652257</v>
      </c>
      <c r="C51" t="str">
        <f>"EVERYDAY COUNTER-BIRTHDAY SISTER PKG/6-10271"</f>
        <v>EVERYDAY COUNTER-BIRTHDAY SISTER PKG/6-10271</v>
      </c>
      <c r="D51" t="str">
        <f>"10271"</f>
        <v>10271</v>
      </c>
      <c r="E51" t="str">
        <f>"ED08A050"</f>
        <v>ED08A050</v>
      </c>
    </row>
    <row r="52" spans="1:5" x14ac:dyDescent="0.25">
      <c r="A52" t="str">
        <f>"349516"</f>
        <v>349516</v>
      </c>
      <c r="B52" t="str">
        <f>"81983778285"</f>
        <v>81983778285</v>
      </c>
      <c r="C52" t="str">
        <f>"EVERYDAY COUNTER-RELATIVE BIRTHDAY PKG/6-U0449"</f>
        <v>EVERYDAY COUNTER-RELATIVE BIRTHDAY PKG/6-U0449</v>
      </c>
      <c r="D52" t="str">
        <f>"U0449"</f>
        <v>U0449</v>
      </c>
      <c r="E52" t="str">
        <f>"ED08A051"</f>
        <v>ED08A051</v>
      </c>
    </row>
    <row r="53" spans="1:5" x14ac:dyDescent="0.25">
      <c r="A53" t="str">
        <f>"308410"</f>
        <v>308410</v>
      </c>
      <c r="B53" t="str">
        <f>"81983773624"</f>
        <v>81983773624</v>
      </c>
      <c r="C53" t="str">
        <f>"EVERYDAY COUNTER-RELATIVE BD DAD PKG/6-J2744"</f>
        <v>EVERYDAY COUNTER-RELATIVE BD DAD PKG/6-J2744</v>
      </c>
      <c r="D53" t="str">
        <f>"J2744"</f>
        <v>J2744</v>
      </c>
      <c r="E53" t="str">
        <f>"ED08A052"</f>
        <v>ED08A052</v>
      </c>
    </row>
    <row r="54" spans="1:5" x14ac:dyDescent="0.25">
      <c r="A54" t="str">
        <f>"349476"</f>
        <v>349476</v>
      </c>
      <c r="B54" t="str">
        <f>"81983777776"</f>
        <v>81983777776</v>
      </c>
      <c r="C54" t="str">
        <f>"EVERYDAY COUNTER-BIRTHDAY PKG/6-U0398"</f>
        <v>EVERYDAY COUNTER-BIRTHDAY PKG/6-U0398</v>
      </c>
      <c r="D54" t="str">
        <f>"U0398"</f>
        <v>U0398</v>
      </c>
      <c r="E54" t="str">
        <f>"ED08A053"</f>
        <v>ED08A053</v>
      </c>
    </row>
    <row r="55" spans="1:5" x14ac:dyDescent="0.25">
      <c r="A55" t="str">
        <f>"279689"</f>
        <v>279689</v>
      </c>
      <c r="B55" t="str">
        <f>"81983763809"</f>
        <v>81983763809</v>
      </c>
      <c r="C55" t="str">
        <f>"EVERYDAY COUNTER-BIRTHDAY GENERAL FOR ANYONE PKG/6-J8991"</f>
        <v>EVERYDAY COUNTER-BIRTHDAY GENERAL FOR ANYONE PKG/6-J8991</v>
      </c>
      <c r="D55" t="str">
        <f>"J8991"</f>
        <v>J8991</v>
      </c>
      <c r="E55" t="str">
        <f>"ED08A054"</f>
        <v>ED08A054</v>
      </c>
    </row>
    <row r="56" spans="1:5" x14ac:dyDescent="0.25">
      <c r="A56" t="str">
        <f>"308239"</f>
        <v>308239</v>
      </c>
      <c r="B56" t="str">
        <f>"081983774799"</f>
        <v>081983774799</v>
      </c>
      <c r="C56" t="str">
        <f>"EVERYDAY COUNTER-WEDDING PKG/6-92028"</f>
        <v>EVERYDAY COUNTER-WEDDING PKG/6-92028</v>
      </c>
      <c r="D56" t="str">
        <f>"92028"</f>
        <v>92028</v>
      </c>
      <c r="E56" t="str">
        <f>"ED08A055"</f>
        <v>ED08A055</v>
      </c>
    </row>
    <row r="57" spans="1:5" x14ac:dyDescent="0.25">
      <c r="A57" t="str">
        <f>"308122"</f>
        <v>308122</v>
      </c>
      <c r="B57" t="str">
        <f>"81983603051"</f>
        <v>81983603051</v>
      </c>
      <c r="C57" t="str">
        <f>"EVERYDAY COUNTER-WEDDING-78865"</f>
        <v>EVERYDAY COUNTER-WEDDING-78865</v>
      </c>
      <c r="D57" t="str">
        <f>"78865"</f>
        <v>78865</v>
      </c>
      <c r="E57" t="str">
        <f>"ED08A056"</f>
        <v>ED08A056</v>
      </c>
    </row>
    <row r="58" spans="1:5" x14ac:dyDescent="0.25">
      <c r="A58" t="str">
        <f>"349489"</f>
        <v>349489</v>
      </c>
      <c r="B58" t="str">
        <f>"81983778155"</f>
        <v>81983778155</v>
      </c>
      <c r="C58" t="str">
        <f>"EVERYDAY COUNTER-RELATIVE BIRTHDAY PKG/6-U0436"</f>
        <v>EVERYDAY COUNTER-RELATIVE BIRTHDAY PKG/6-U0436</v>
      </c>
      <c r="D58" t="str">
        <f>"U0436"</f>
        <v>U0436</v>
      </c>
      <c r="E58" t="str">
        <f>"ED08A057"</f>
        <v>ED08A057</v>
      </c>
    </row>
    <row r="59" spans="1:5" x14ac:dyDescent="0.25">
      <c r="A59" t="str">
        <f>"349510"</f>
        <v>349510</v>
      </c>
      <c r="B59" t="str">
        <f>"81983778247"</f>
        <v>81983778247</v>
      </c>
      <c r="C59" t="str">
        <f>"EVERYDAY COUNTER-RELATIVE BIRTHDAY PKG/6-U0445"</f>
        <v>EVERYDAY COUNTER-RELATIVE BIRTHDAY PKG/6-U0445</v>
      </c>
      <c r="D59" t="str">
        <f>"U0445"</f>
        <v>U0445</v>
      </c>
      <c r="E59" t="str">
        <f>"ED08A058"</f>
        <v>ED08A058</v>
      </c>
    </row>
    <row r="60" spans="1:5" x14ac:dyDescent="0.25">
      <c r="A60" t="str">
        <f>"349514"</f>
        <v>349514</v>
      </c>
      <c r="B60" t="str">
        <f>"81983778278"</f>
        <v>81983778278</v>
      </c>
      <c r="C60" t="str">
        <f>"EVERYDAY COUNTER-RELATIVE BIRTHDAY PKG/6-U0448"</f>
        <v>EVERYDAY COUNTER-RELATIVE BIRTHDAY PKG/6-U0448</v>
      </c>
      <c r="D60" t="str">
        <f>"U0448"</f>
        <v>U0448</v>
      </c>
      <c r="E60" t="str">
        <f>"ED08A059"</f>
        <v>ED08A059</v>
      </c>
    </row>
    <row r="61" spans="1:5" x14ac:dyDescent="0.25">
      <c r="A61" t="str">
        <f>"279766"</f>
        <v>279766</v>
      </c>
      <c r="B61" t="str">
        <f>"81983764394"</f>
        <v>81983764394</v>
      </c>
      <c r="C61" t="str">
        <f>"EVERYDAY COUNTER-RELATIVE BD SON-IN-LAW PKG/6-J9050"</f>
        <v>EVERYDAY COUNTER-RELATIVE BD SON-IN-LAW PKG/6-J9050</v>
      </c>
      <c r="D61" t="str">
        <f>"J9050"</f>
        <v>J9050</v>
      </c>
      <c r="E61" t="str">
        <f>"ED08A060"</f>
        <v>ED08A060</v>
      </c>
    </row>
    <row r="62" spans="1:5" x14ac:dyDescent="0.25">
      <c r="A62" t="str">
        <f>"349478"</f>
        <v>349478</v>
      </c>
      <c r="B62" t="str">
        <f>"81983777806"</f>
        <v>81983777806</v>
      </c>
      <c r="C62" t="str">
        <f>"EVERYDAY COUNTER-BIRTHDAY PKG/6-U0401"</f>
        <v>EVERYDAY COUNTER-BIRTHDAY PKG/6-U0401</v>
      </c>
      <c r="D62" t="str">
        <f>"U0401"</f>
        <v>U0401</v>
      </c>
      <c r="E62" t="str">
        <f>"ED08A061"</f>
        <v>ED08A061</v>
      </c>
    </row>
    <row r="63" spans="1:5" x14ac:dyDescent="0.25">
      <c r="A63" t="str">
        <f>"349485"</f>
        <v>349485</v>
      </c>
      <c r="B63" t="str">
        <f>"81983777868"</f>
        <v>81983777868</v>
      </c>
      <c r="C63" t="str">
        <f>"EVERYDAY COUNTER-BIRTHDAY PKG/6-U0407"</f>
        <v>EVERYDAY COUNTER-BIRTHDAY PKG/6-U0407</v>
      </c>
      <c r="D63" t="str">
        <f>"U0407"</f>
        <v>U0407</v>
      </c>
      <c r="E63" t="str">
        <f>"ED08A062"</f>
        <v>ED08A062</v>
      </c>
    </row>
    <row r="64" spans="1:5" x14ac:dyDescent="0.25">
      <c r="A64" t="str">
        <f>"401605"</f>
        <v>401605</v>
      </c>
      <c r="B64" t="str">
        <f>"81983772399"</f>
        <v>81983772399</v>
      </c>
      <c r="C64" t="str">
        <f>"EVERYDAY COUNTER-WEDDING-THANK YOU-J9951"</f>
        <v>EVERYDAY COUNTER-WEDDING-THANK YOU-J9951</v>
      </c>
      <c r="D64" t="str">
        <f>"J9951"</f>
        <v>J9951</v>
      </c>
      <c r="E64" t="str">
        <f>"ED08A063"</f>
        <v>ED08A063</v>
      </c>
    </row>
    <row r="65" spans="1:5" x14ac:dyDescent="0.25">
      <c r="A65" t="str">
        <f>"298713"</f>
        <v>298713</v>
      </c>
      <c r="B65" t="str">
        <f>"81983772344"</f>
        <v>81983772344</v>
      </c>
      <c r="C65" t="str">
        <f>"EVERYDAY COUNTER-WEDDING ENGAGEMENT PKG/6-J9946"</f>
        <v>EVERYDAY COUNTER-WEDDING ENGAGEMENT PKG/6-J9946</v>
      </c>
      <c r="D65" t="str">
        <f>"J9946"</f>
        <v>J9946</v>
      </c>
      <c r="E65" t="str">
        <f>"ED08A064"</f>
        <v>ED08A064</v>
      </c>
    </row>
    <row r="66" spans="1:5" x14ac:dyDescent="0.25">
      <c r="A66" t="str">
        <f>"349457"</f>
        <v>349457</v>
      </c>
      <c r="B66" t="str">
        <f>"81983778032"</f>
        <v>81983778032</v>
      </c>
      <c r="C66" t="str">
        <f>"EVERYDAY COUNTER-RELATIVE BIRTHDAY PKG/6-U0424"</f>
        <v>EVERYDAY COUNTER-RELATIVE BIRTHDAY PKG/6-U0424</v>
      </c>
      <c r="D66" t="str">
        <f>"U0424"</f>
        <v>U0424</v>
      </c>
      <c r="E66" t="str">
        <f>"ED08A065"</f>
        <v>ED08A065</v>
      </c>
    </row>
    <row r="67" spans="1:5" x14ac:dyDescent="0.25">
      <c r="A67" t="str">
        <f>"349458"</f>
        <v>349458</v>
      </c>
      <c r="B67" t="str">
        <f>"81983778056"</f>
        <v>81983778056</v>
      </c>
      <c r="C67" t="str">
        <f>"EVERYDAY COUNTER-RELATIVE BIRTHDAY PKG/6-U0426"</f>
        <v>EVERYDAY COUNTER-RELATIVE BIRTHDAY PKG/6-U0426</v>
      </c>
      <c r="D67" t="str">
        <f>"U0426"</f>
        <v>U0426</v>
      </c>
      <c r="E67" t="str">
        <f>"ED08A066"</f>
        <v>ED08A066</v>
      </c>
    </row>
    <row r="68" spans="1:5" x14ac:dyDescent="0.25">
      <c r="A68" t="str">
        <f>"349517"</f>
        <v>349517</v>
      </c>
      <c r="B68" t="str">
        <f>"81983778261"</f>
        <v>81983778261</v>
      </c>
      <c r="C68" t="str">
        <f>"EVERYDAY COUNTER-RELATIVE BIRTHDAY PKG/6-U0447"</f>
        <v>EVERYDAY COUNTER-RELATIVE BIRTHDAY PKG/6-U0447</v>
      </c>
      <c r="D68" t="str">
        <f>"U0447"</f>
        <v>U0447</v>
      </c>
      <c r="E68" t="str">
        <f>"ED08A067"</f>
        <v>ED08A067</v>
      </c>
    </row>
    <row r="69" spans="1:5" x14ac:dyDescent="0.25">
      <c r="A69" t="str">
        <f>"279494"</f>
        <v>279494</v>
      </c>
      <c r="B69" t="str">
        <f>"81983738579"</f>
        <v>81983738579</v>
      </c>
      <c r="C69" t="str">
        <f>"EVERYDAY COUNTER-REL BD GRANDPA PKG/6-J5524"</f>
        <v>EVERYDAY COUNTER-REL BD GRANDPA PKG/6-J5524</v>
      </c>
      <c r="D69" t="str">
        <f>"J5524"</f>
        <v>J5524</v>
      </c>
      <c r="E69" t="str">
        <f>"ED08A068"</f>
        <v>ED08A068</v>
      </c>
    </row>
    <row r="70" spans="1:5" x14ac:dyDescent="0.25">
      <c r="A70" t="str">
        <f>"349480"</f>
        <v>349480</v>
      </c>
      <c r="B70" t="str">
        <f>"81983777813"</f>
        <v>81983777813</v>
      </c>
      <c r="C70" t="str">
        <f>"EVERYDAY COUNTER-BIRTHDAY PKG/6-U0402"</f>
        <v>EVERYDAY COUNTER-BIRTHDAY PKG/6-U0402</v>
      </c>
      <c r="D70" t="str">
        <f>"U0402"</f>
        <v>U0402</v>
      </c>
      <c r="E70" t="str">
        <f>"ED08A069"</f>
        <v>ED08A069</v>
      </c>
    </row>
    <row r="71" spans="1:5" x14ac:dyDescent="0.25">
      <c r="A71" t="str">
        <f>"349486"</f>
        <v>349486</v>
      </c>
      <c r="B71" t="str">
        <f>"81983777851"</f>
        <v>81983777851</v>
      </c>
      <c r="C71" t="str">
        <f>"EVERYDAY COUNTER-BIRTHDAY PKG/6-U0406"</f>
        <v>EVERYDAY COUNTER-BIRTHDAY PKG/6-U0406</v>
      </c>
      <c r="D71" t="str">
        <f>"U0406"</f>
        <v>U0406</v>
      </c>
      <c r="E71" t="str">
        <f>"ED08A070"</f>
        <v>ED08A070</v>
      </c>
    </row>
    <row r="72" spans="1:5" x14ac:dyDescent="0.25">
      <c r="A72" t="str">
        <f>"308396"</f>
        <v>308396</v>
      </c>
      <c r="B72" t="str">
        <f>"81983715020"</f>
        <v>81983715020</v>
      </c>
      <c r="C72" t="str">
        <f>"EVERYDAY COUNTER-BD -MASCULINE PKG/6-J2728"</f>
        <v>EVERYDAY COUNTER-BD -MASCULINE PKG/6-J2728</v>
      </c>
      <c r="D72" t="str">
        <f>"J2728"</f>
        <v>J2728</v>
      </c>
      <c r="E72" t="str">
        <f>"ED08A071"</f>
        <v>ED08A071</v>
      </c>
    </row>
    <row r="73" spans="1:5" x14ac:dyDescent="0.25">
      <c r="A73" t="str">
        <f>"279646"</f>
        <v>279646</v>
      </c>
      <c r="B73" t="str">
        <f>"81983774720"</f>
        <v>81983774720</v>
      </c>
      <c r="C73" t="str">
        <f>"EVERYDAY COUNTER-WEDDING - SHOWER PKG/6-J8233"</f>
        <v>EVERYDAY COUNTER-WEDDING - SHOWER PKG/6-J8233</v>
      </c>
      <c r="D73" t="str">
        <f>"J8233"</f>
        <v>J8233</v>
      </c>
      <c r="E73" t="str">
        <f>"ED08A072"</f>
        <v>ED08A072</v>
      </c>
    </row>
    <row r="74" spans="1:5" x14ac:dyDescent="0.25">
      <c r="A74" t="str">
        <f>"349454"</f>
        <v>349454</v>
      </c>
      <c r="B74" t="str">
        <f>"81983778025"</f>
        <v>81983778025</v>
      </c>
      <c r="C74" t="str">
        <f>"EVERYDAY COUNTER-RELATIVE BIRTHDAY PKG/6-U0423"</f>
        <v>EVERYDAY COUNTER-RELATIVE BIRTHDAY PKG/6-U0423</v>
      </c>
      <c r="D74" t="str">
        <f>"U0423"</f>
        <v>U0423</v>
      </c>
      <c r="E74" t="str">
        <f>"ED08A073"</f>
        <v>ED08A073</v>
      </c>
    </row>
    <row r="75" spans="1:5" x14ac:dyDescent="0.25">
      <c r="A75" t="str">
        <f>"279496"</f>
        <v>279496</v>
      </c>
      <c r="B75" t="str">
        <f>"81983773679"</f>
        <v>81983773679</v>
      </c>
      <c r="C75" t="str">
        <f>"EVERYDAY COUNTER-REL BIRTHDAY GRANDMA PKG/6-J5526"</f>
        <v>EVERYDAY COUNTER-REL BIRTHDAY GRANDMA PKG/6-J5526</v>
      </c>
      <c r="D75" t="str">
        <f>"J5526"</f>
        <v>J5526</v>
      </c>
      <c r="E75" t="str">
        <f>"ED08A074"</f>
        <v>ED08A074</v>
      </c>
    </row>
    <row r="76" spans="1:5" x14ac:dyDescent="0.25">
      <c r="A76" t="str">
        <f>"349515"</f>
        <v>349515</v>
      </c>
      <c r="B76" t="str">
        <f>"81983778254"</f>
        <v>81983778254</v>
      </c>
      <c r="C76" t="str">
        <f>"EVERYDAY COUNTER-RELATIVE BIRTHDAY PKG/6-U0446"</f>
        <v>EVERYDAY COUNTER-RELATIVE BIRTHDAY PKG/6-U0446</v>
      </c>
      <c r="D76" t="str">
        <f>"U0446"</f>
        <v>U0446</v>
      </c>
      <c r="E76" t="str">
        <f>"ED08A075"</f>
        <v>ED08A075</v>
      </c>
    </row>
    <row r="77" spans="1:5" x14ac:dyDescent="0.25">
      <c r="A77" t="str">
        <f>"279503"</f>
        <v>279503</v>
      </c>
      <c r="B77" t="str">
        <f>"81983738630"</f>
        <v>81983738630</v>
      </c>
      <c r="C77" t="str">
        <f>"EVERYDAY COUNTER-REL BD GRANDSON ADULT PKG/6-J5530"</f>
        <v>EVERYDAY COUNTER-REL BD GRANDSON ADULT PKG/6-J5530</v>
      </c>
      <c r="D77" t="str">
        <f>"J5530"</f>
        <v>J5530</v>
      </c>
      <c r="E77" t="str">
        <f>"ED08A076"</f>
        <v>ED08A076</v>
      </c>
    </row>
    <row r="78" spans="1:5" x14ac:dyDescent="0.25">
      <c r="A78" t="str">
        <f>"349474"</f>
        <v>349474</v>
      </c>
      <c r="B78" t="str">
        <f>"81983777820"</f>
        <v>81983777820</v>
      </c>
      <c r="C78" t="str">
        <f>"EVERYDAY COUNTER-BIRTHDAY PKG/6-U0403"</f>
        <v>EVERYDAY COUNTER-BIRTHDAY PKG/6-U0403</v>
      </c>
      <c r="D78" t="str">
        <f>"U0403"</f>
        <v>U0403</v>
      </c>
      <c r="E78" t="str">
        <f>"ED08A077"</f>
        <v>ED08A077</v>
      </c>
    </row>
    <row r="79" spans="1:5" x14ac:dyDescent="0.25">
      <c r="A79" t="str">
        <f>"349481"</f>
        <v>349481</v>
      </c>
      <c r="B79" t="str">
        <f>"81983777882"</f>
        <v>81983777882</v>
      </c>
      <c r="C79" t="str">
        <f>"EVERYDAY COUNTER-BIRTHDAY PKG/6-U0409"</f>
        <v>EVERYDAY COUNTER-BIRTHDAY PKG/6-U0409</v>
      </c>
      <c r="D79" t="str">
        <f>"U0409"</f>
        <v>U0409</v>
      </c>
      <c r="E79" t="str">
        <f>"ED08A078"</f>
        <v>ED08A078</v>
      </c>
    </row>
    <row r="80" spans="1:5" x14ac:dyDescent="0.25">
      <c r="A80" t="str">
        <f>"349504"</f>
        <v>349504</v>
      </c>
      <c r="B80" t="str">
        <f>"81983777912"</f>
        <v>81983777912</v>
      </c>
      <c r="C80" t="str">
        <f>"EVERYDAY COUNTER-BIRTHDAY PKG/6-U0412"</f>
        <v>EVERYDAY COUNTER-BIRTHDAY PKG/6-U0412</v>
      </c>
      <c r="D80" t="str">
        <f>"U0412"</f>
        <v>U0412</v>
      </c>
      <c r="E80" t="str">
        <f>"ED08A079"</f>
        <v>ED08A079</v>
      </c>
    </row>
    <row r="81" spans="1:5" x14ac:dyDescent="0.25">
      <c r="A81" t="str">
        <f>"349469"</f>
        <v>349469</v>
      </c>
      <c r="B81" t="str">
        <f>"81983777769"</f>
        <v>81983777769</v>
      </c>
      <c r="C81" t="str">
        <f>"EVERYDAY COUNTER-BIRTHDAY PKG/6-U0397"</f>
        <v>EVERYDAY COUNTER-BIRTHDAY PKG/6-U0397</v>
      </c>
      <c r="D81" t="str">
        <f>"U0397"</f>
        <v>U0397</v>
      </c>
      <c r="E81" t="str">
        <f>"ED08A080"</f>
        <v>ED08A080</v>
      </c>
    </row>
    <row r="82" spans="1:5" x14ac:dyDescent="0.25">
      <c r="A82" t="str">
        <f>"349456"</f>
        <v>349456</v>
      </c>
      <c r="B82" t="str">
        <f>"81983778018"</f>
        <v>81983778018</v>
      </c>
      <c r="C82" t="str">
        <f>"EVERYDAY COUNTER-RELATIVE BIRTHDAY PKG/6-U0422"</f>
        <v>EVERYDAY COUNTER-RELATIVE BIRTHDAY PKG/6-U0422</v>
      </c>
      <c r="D82" t="str">
        <f>"U0422"</f>
        <v>U0422</v>
      </c>
      <c r="E82" t="str">
        <f>"ED08A081"</f>
        <v>ED08A081</v>
      </c>
    </row>
    <row r="83" spans="1:5" x14ac:dyDescent="0.25">
      <c r="A83" t="str">
        <f>"279737"</f>
        <v>279737</v>
      </c>
      <c r="B83" t="str">
        <f>"81983764165"</f>
        <v>81983764165</v>
      </c>
      <c r="C83" t="str">
        <f>"EVERYDAY COUNTER-RELATIVE BD GRANDDAUGHTER PKG/6-J9027"</f>
        <v>EVERYDAY COUNTER-RELATIVE BD GRANDDAUGHTER PKG/6-J9027</v>
      </c>
      <c r="D83" t="str">
        <f>"J9027"</f>
        <v>J9027</v>
      </c>
      <c r="E83" t="str">
        <f>"ED08A082"</f>
        <v>ED08A082</v>
      </c>
    </row>
    <row r="84" spans="1:5" x14ac:dyDescent="0.25">
      <c r="A84" t="str">
        <f>"349518"</f>
        <v>349518</v>
      </c>
      <c r="B84" t="str">
        <f>"81983778292"</f>
        <v>81983778292</v>
      </c>
      <c r="C84" t="str">
        <f>"EVERYDAY COUNTER-RELATIVE BIRTHDAY PKG/6-U0450"</f>
        <v>EVERYDAY COUNTER-RELATIVE BIRTHDAY PKG/6-U0450</v>
      </c>
      <c r="D84" t="str">
        <f>"U0450"</f>
        <v>U0450</v>
      </c>
      <c r="E84" t="str">
        <f>"ED08A083"</f>
        <v>ED08A083</v>
      </c>
    </row>
    <row r="85" spans="1:5" x14ac:dyDescent="0.25">
      <c r="A85" t="str">
        <f>"349470"</f>
        <v>349470</v>
      </c>
      <c r="B85" t="str">
        <f>"81983778094"</f>
        <v>81983778094</v>
      </c>
      <c r="C85" t="str">
        <f>"EVERYDAY COUNTER-RELATIVE BIRTHDAY PKG/6-U0430"</f>
        <v>EVERYDAY COUNTER-RELATIVE BIRTHDAY PKG/6-U0430</v>
      </c>
      <c r="D85" t="str">
        <f>"U0430"</f>
        <v>U0430</v>
      </c>
      <c r="E85" t="str">
        <f>"ED08A084"</f>
        <v>ED08A084</v>
      </c>
    </row>
    <row r="86" spans="1:5" x14ac:dyDescent="0.25">
      <c r="A86" t="str">
        <f>"349473"</f>
        <v>349473</v>
      </c>
      <c r="B86" t="str">
        <f>"81983777837"</f>
        <v>81983777837</v>
      </c>
      <c r="C86" t="str">
        <f>"EVERYDAY COUNTER-BIRTHDAY PKG/6-U0404"</f>
        <v>EVERYDAY COUNTER-BIRTHDAY PKG/6-U0404</v>
      </c>
      <c r="D86" t="str">
        <f>"U0404"</f>
        <v>U0404</v>
      </c>
      <c r="E86" t="str">
        <f>"ED08A085"</f>
        <v>ED08A085</v>
      </c>
    </row>
    <row r="87" spans="1:5" x14ac:dyDescent="0.25">
      <c r="A87" t="str">
        <f>"349483"</f>
        <v>349483</v>
      </c>
      <c r="B87" t="str">
        <f>"81983777899"</f>
        <v>81983777899</v>
      </c>
      <c r="C87" t="str">
        <f>"EVERYDAY COUNTER-BIRTHDAY PKG/6-U0410"</f>
        <v>EVERYDAY COUNTER-BIRTHDAY PKG/6-U0410</v>
      </c>
      <c r="D87" t="str">
        <f>"U0410"</f>
        <v>U0410</v>
      </c>
      <c r="E87" t="str">
        <f>"ED08A086"</f>
        <v>ED08A086</v>
      </c>
    </row>
    <row r="88" spans="1:5" x14ac:dyDescent="0.25">
      <c r="A88" t="str">
        <f>"349503"</f>
        <v>349503</v>
      </c>
      <c r="B88" t="str">
        <f>"81983777639"</f>
        <v>81983777639</v>
      </c>
      <c r="C88" t="str">
        <f>"EVERYDAY COUNTER-BIRTHDAY PKG/6-U0384"</f>
        <v>EVERYDAY COUNTER-BIRTHDAY PKG/6-U0384</v>
      </c>
      <c r="D88" t="str">
        <f>"U0384"</f>
        <v>U0384</v>
      </c>
      <c r="E88" t="str">
        <f>"ED08A087"</f>
        <v>ED08A087</v>
      </c>
    </row>
    <row r="89" spans="1:5" x14ac:dyDescent="0.25">
      <c r="A89" t="str">
        <f>"279464"</f>
        <v>279464</v>
      </c>
      <c r="B89" t="str">
        <f>"81983738357"</f>
        <v>81983738357</v>
      </c>
      <c r="C89" t="str">
        <f>"EVERYDAY COUNTER-BIRTHDAY PASTOR'S WIFE PKG/6-J5502"</f>
        <v>EVERYDAY COUNTER-BIRTHDAY PASTOR'S WIFE PKG/6-J5502</v>
      </c>
      <c r="D89" t="str">
        <f>"J5502"</f>
        <v>J5502</v>
      </c>
      <c r="E89" t="str">
        <f>"ED08A088"</f>
        <v>ED08A088</v>
      </c>
    </row>
    <row r="90" spans="1:5" x14ac:dyDescent="0.25">
      <c r="A90" t="str">
        <f>"308299"</f>
        <v>308299</v>
      </c>
      <c r="B90" t="str">
        <f>"81983685415"</f>
        <v>81983685415</v>
      </c>
      <c r="C90" t="str">
        <f>"EVERYDAY COUNTER-BIRTHDAY DAUGHTER TEEN PKG/6-J0327"</f>
        <v>EVERYDAY COUNTER-BIRTHDAY DAUGHTER TEEN PKG/6-J0327</v>
      </c>
      <c r="D90" t="str">
        <f>"J0327"</f>
        <v>J0327</v>
      </c>
      <c r="E90" t="str">
        <f>"ED08A089"</f>
        <v>ED08A089</v>
      </c>
    </row>
    <row r="91" spans="1:5" x14ac:dyDescent="0.25">
      <c r="A91" t="str">
        <f>"307931"</f>
        <v>307931</v>
      </c>
      <c r="B91" t="str">
        <f>"81983612992"</f>
        <v>81983612992</v>
      </c>
      <c r="C91" t="str">
        <f>"EVERYDAY COUNTER-RELATIVE BDAY-GRANDDAUGHTER-44470"</f>
        <v>EVERYDAY COUNTER-RELATIVE BDAY-GRANDDAUGHTER-44470</v>
      </c>
      <c r="D91" t="str">
        <f>"44470"</f>
        <v>44470</v>
      </c>
      <c r="E91" t="str">
        <f>"ED08A090"</f>
        <v>ED08A090</v>
      </c>
    </row>
    <row r="92" spans="1:5" x14ac:dyDescent="0.25">
      <c r="A92" t="str">
        <f>"279529"</f>
        <v>279529</v>
      </c>
      <c r="B92" t="str">
        <f>"81983738852"</f>
        <v>81983738852</v>
      </c>
      <c r="C92" t="str">
        <f>"EVERYDAY COUNTER-REL BD SON TEEN PKG/6-J5552"</f>
        <v>EVERYDAY COUNTER-REL BD SON TEEN PKG/6-J5552</v>
      </c>
      <c r="D92" t="str">
        <f>"J5552"</f>
        <v>J5552</v>
      </c>
      <c r="E92" t="str">
        <f>"ED08A091"</f>
        <v>ED08A091</v>
      </c>
    </row>
    <row r="93" spans="1:5" x14ac:dyDescent="0.25">
      <c r="A93" t="str">
        <f>"349471"</f>
        <v>349471</v>
      </c>
      <c r="B93" t="str">
        <f>"81983778087"</f>
        <v>81983778087</v>
      </c>
      <c r="C93" t="str">
        <f>"EVERYDAY COUNTER-RELATIVE BIRTHDAY PKG/6-U0429"</f>
        <v>EVERYDAY COUNTER-RELATIVE BIRTHDAY PKG/6-U0429</v>
      </c>
      <c r="D93" t="str">
        <f>"U0429"</f>
        <v>U0429</v>
      </c>
      <c r="E93" t="str">
        <f>"ED08A092"</f>
        <v>ED08A092</v>
      </c>
    </row>
    <row r="94" spans="1:5" x14ac:dyDescent="0.25">
      <c r="A94" t="str">
        <f>"349475"</f>
        <v>349475</v>
      </c>
      <c r="B94" t="str">
        <f>"81983777844"</f>
        <v>81983777844</v>
      </c>
      <c r="C94" t="str">
        <f>"EVERYDAY COUNTER-BIRTHDAY PKG/6-U0405"</f>
        <v>EVERYDAY COUNTER-BIRTHDAY PKG/6-U0405</v>
      </c>
      <c r="D94" t="str">
        <f>"U0405"</f>
        <v>U0405</v>
      </c>
      <c r="E94" t="str">
        <f>"ED08A093"</f>
        <v>ED08A093</v>
      </c>
    </row>
    <row r="95" spans="1:5" x14ac:dyDescent="0.25">
      <c r="A95" t="str">
        <f>"349482"</f>
        <v>349482</v>
      </c>
      <c r="B95" t="str">
        <f>"81983777905"</f>
        <v>81983777905</v>
      </c>
      <c r="C95" t="str">
        <f>"EVERYDAY COUNTER-BIRTHDAY PKG/6-U0411"</f>
        <v>EVERYDAY COUNTER-BIRTHDAY PKG/6-U0411</v>
      </c>
      <c r="D95" t="str">
        <f>"U0411"</f>
        <v>U0411</v>
      </c>
      <c r="E95" t="str">
        <f>"ED08A094"</f>
        <v>ED08A094</v>
      </c>
    </row>
    <row r="96" spans="1:5" x14ac:dyDescent="0.25">
      <c r="A96" t="str">
        <f>"349495"</f>
        <v>349495</v>
      </c>
      <c r="B96" t="str">
        <f>"81983777646"</f>
        <v>81983777646</v>
      </c>
      <c r="C96" t="str">
        <f>"EVERYDAY COUNTER-BIRTHDAY PKG/6-U0385"</f>
        <v>EVERYDAY COUNTER-BIRTHDAY PKG/6-U0385</v>
      </c>
      <c r="D96" t="str">
        <f>"U0385"</f>
        <v>U0385</v>
      </c>
      <c r="E96" t="str">
        <f>"ED08A095"</f>
        <v>ED08A095</v>
      </c>
    </row>
    <row r="97" spans="1:5" x14ac:dyDescent="0.25">
      <c r="A97" t="str">
        <f>"279682"</f>
        <v>279682</v>
      </c>
      <c r="B97" t="str">
        <f>"81983763748"</f>
        <v>81983763748</v>
      </c>
      <c r="C97" t="str">
        <f>"EVERYDAY COUNTER-BIRTHDAY BELATED PKG/6-J8985"</f>
        <v>EVERYDAY COUNTER-BIRTHDAY BELATED PKG/6-J8985</v>
      </c>
      <c r="D97" t="str">
        <f>"J8985"</f>
        <v>J8985</v>
      </c>
      <c r="E97" t="str">
        <f>"ED08A096"</f>
        <v>ED08A096</v>
      </c>
    </row>
    <row r="98" spans="1:5" x14ac:dyDescent="0.25">
      <c r="A98" t="str">
        <f>"279733"</f>
        <v>279733</v>
      </c>
      <c r="B98" t="str">
        <f>"81983773600"</f>
        <v>81983773600</v>
      </c>
      <c r="C98" t="str">
        <f>"EVERYDAY COUNTER-RELATIVE BD DAUGHTER TEEN PKG/6-J9023"</f>
        <v>EVERYDAY COUNTER-RELATIVE BD DAUGHTER TEEN PKG/6-J9023</v>
      </c>
      <c r="D98" t="str">
        <f>"J9023"</f>
        <v>J9023</v>
      </c>
      <c r="E98" t="str">
        <f>"ED08A097"</f>
        <v>ED08A097</v>
      </c>
    </row>
    <row r="99" spans="1:5" x14ac:dyDescent="0.25">
      <c r="A99" t="str">
        <f>"279739"</f>
        <v>279739</v>
      </c>
      <c r="B99" t="str">
        <f>"81983764189"</f>
        <v>81983764189</v>
      </c>
      <c r="C99" t="str">
        <f>"EVERYDAY COUNTER-RELATIVE BD GRANDDAUGHTER PKG/6-J9029"</f>
        <v>EVERYDAY COUNTER-RELATIVE BD GRANDDAUGHTER PKG/6-J9029</v>
      </c>
      <c r="D99" t="str">
        <f>"J9029"</f>
        <v>J9029</v>
      </c>
      <c r="E99" t="str">
        <f>"ED08A098"</f>
        <v>ED08A098</v>
      </c>
    </row>
    <row r="100" spans="1:5" x14ac:dyDescent="0.25">
      <c r="A100" t="str">
        <f>"279751"</f>
        <v>279751</v>
      </c>
      <c r="B100" t="str">
        <f>"81983764288"</f>
        <v>81983764288</v>
      </c>
      <c r="C100" t="str">
        <f>"EVERYDAY COUNTER-RELATIVE BD NEPHEW PKG/6-J9039"</f>
        <v>EVERYDAY COUNTER-RELATIVE BD NEPHEW PKG/6-J9039</v>
      </c>
      <c r="D100" t="str">
        <f>"J9039"</f>
        <v>J9039</v>
      </c>
      <c r="E100" t="str">
        <f>"ED08A099"</f>
        <v>ED08A099</v>
      </c>
    </row>
    <row r="101" spans="1:5" x14ac:dyDescent="0.25">
      <c r="A101" t="str">
        <f>"279469"</f>
        <v>279469</v>
      </c>
      <c r="B101" t="str">
        <f>"81983738395"</f>
        <v>81983738395</v>
      </c>
      <c r="C101" t="str">
        <f>"EVERYDAY COUNTER-BIRTHDAY GEN FEM PKG/6-J5506"</f>
        <v>EVERYDAY COUNTER-BIRTHDAY GEN FEM PKG/6-J5506</v>
      </c>
      <c r="D101" t="str">
        <f>"J5506"</f>
        <v>J5506</v>
      </c>
      <c r="E101" t="str">
        <f>"ED08A100"</f>
        <v>ED08A100</v>
      </c>
    </row>
    <row r="102" spans="1:5" x14ac:dyDescent="0.25">
      <c r="A102" t="str">
        <f>"349479"</f>
        <v>349479</v>
      </c>
      <c r="B102" t="str">
        <f>"81983777790"</f>
        <v>81983777790</v>
      </c>
      <c r="C102" t="str">
        <f>"EVERYDAY COUNTER-BIRTHDAY PKG/6-U0400"</f>
        <v>EVERYDAY COUNTER-BIRTHDAY PKG/6-U0400</v>
      </c>
      <c r="D102" t="str">
        <f>"U0400"</f>
        <v>U0400</v>
      </c>
      <c r="E102" t="str">
        <f>"ED08A101"</f>
        <v>ED08A101</v>
      </c>
    </row>
    <row r="103" spans="1:5" x14ac:dyDescent="0.25">
      <c r="A103" t="str">
        <f>"349523"</f>
        <v>349523</v>
      </c>
      <c r="B103" t="str">
        <f>"81983777943"</f>
        <v>81983777943</v>
      </c>
      <c r="C103" t="str">
        <f>"EVERYDAY COUNTER-BIRTHDAY PKG/6-U0415"</f>
        <v>EVERYDAY COUNTER-BIRTHDAY PKG/6-U0415</v>
      </c>
      <c r="D103" t="str">
        <f>"U0415"</f>
        <v>U0415</v>
      </c>
      <c r="E103" t="str">
        <f>"ED08A102"</f>
        <v>ED08A102</v>
      </c>
    </row>
    <row r="104" spans="1:5" x14ac:dyDescent="0.25">
      <c r="A104" t="str">
        <f>"349484"</f>
        <v>349484</v>
      </c>
      <c r="B104" t="str">
        <f>"81983777875"</f>
        <v>81983777875</v>
      </c>
      <c r="C104" t="str">
        <f>"EVERYDAY COUNTER-BIRTHDAY PKG/6-U0408"</f>
        <v>EVERYDAY COUNTER-BIRTHDAY PKG/6-U0408</v>
      </c>
      <c r="D104" t="str">
        <f>"U0408"</f>
        <v>U0408</v>
      </c>
      <c r="E104" t="str">
        <f>"ED08A103"</f>
        <v>ED08A103</v>
      </c>
    </row>
    <row r="105" spans="1:5" x14ac:dyDescent="0.25">
      <c r="A105" t="str">
        <f>"349497"</f>
        <v>349497</v>
      </c>
      <c r="B105" t="str">
        <f>"81983777592"</f>
        <v>81983777592</v>
      </c>
      <c r="C105" t="str">
        <f>"EVERYDAY COUNTER-BIRTHDAY PKG/6-U0380"</f>
        <v>EVERYDAY COUNTER-BIRTHDAY PKG/6-U0380</v>
      </c>
      <c r="D105" t="str">
        <f>"U0380"</f>
        <v>U0380</v>
      </c>
      <c r="E105" t="str">
        <f>"ED08A104"</f>
        <v>ED08A104</v>
      </c>
    </row>
    <row r="106" spans="1:5" x14ac:dyDescent="0.25">
      <c r="A106" t="str">
        <f>"349494"</f>
        <v>349494</v>
      </c>
      <c r="B106" t="str">
        <f>"81983777608"</f>
        <v>81983777608</v>
      </c>
      <c r="C106" t="str">
        <f>"EVERYDAY COUNTER-BIRTHDAY PKG/6-U0381"</f>
        <v>EVERYDAY COUNTER-BIRTHDAY PKG/6-U0381</v>
      </c>
      <c r="D106" t="str">
        <f>"U0381"</f>
        <v>U0381</v>
      </c>
      <c r="E106" t="str">
        <f>"ED08A105"</f>
        <v>ED08A105</v>
      </c>
    </row>
    <row r="107" spans="1:5" x14ac:dyDescent="0.25">
      <c r="A107" t="str">
        <f>"279732"</f>
        <v>279732</v>
      </c>
      <c r="B107" t="str">
        <f>"81983764110"</f>
        <v>81983764110</v>
      </c>
      <c r="C107" t="str">
        <f>"EVERYDAY COUNTER-RELATIVE BD DAUGHTER JUVENILE PKG/6-J9022"</f>
        <v>EVERYDAY COUNTER-RELATIVE BD DAUGHTER JUVENILE PKG/6-J9022</v>
      </c>
      <c r="D107" t="str">
        <f>"J9022"</f>
        <v>J9022</v>
      </c>
      <c r="E107" t="str">
        <f>"ED08A106"</f>
        <v>ED08A106</v>
      </c>
    </row>
    <row r="108" spans="1:5" x14ac:dyDescent="0.25">
      <c r="A108" t="str">
        <f>"279738"</f>
        <v>279738</v>
      </c>
      <c r="B108" t="str">
        <f>"81983764172"</f>
        <v>81983764172</v>
      </c>
      <c r="C108" t="str">
        <f>"EVERYDAY COUNTER-RELATIVE BD GRANDDAUGHTER JUVE PKG/6-J9028"</f>
        <v>EVERYDAY COUNTER-RELATIVE BD GRANDDAUGHTER JUVE PKG/6-J9028</v>
      </c>
      <c r="D108" t="str">
        <f>"J9028"</f>
        <v>J9028</v>
      </c>
      <c r="E108" t="str">
        <f>"ED08A107"</f>
        <v>ED08A107</v>
      </c>
    </row>
    <row r="109" spans="1:5" x14ac:dyDescent="0.25">
      <c r="A109" t="str">
        <f>"279520"</f>
        <v>279520</v>
      </c>
      <c r="B109" t="str">
        <f>"81983738777"</f>
        <v>81983738777</v>
      </c>
      <c r="C109" t="str">
        <f>"EVERYDAY COUNTER-REL BD NIECE TEEN PKG/6-J5544"</f>
        <v>EVERYDAY COUNTER-REL BD NIECE TEEN PKG/6-J5544</v>
      </c>
      <c r="D109" t="str">
        <f>"J5544"</f>
        <v>J5544</v>
      </c>
      <c r="E109" t="str">
        <f>"ED08A108"</f>
        <v>ED08A108</v>
      </c>
    </row>
    <row r="110" spans="1:5" x14ac:dyDescent="0.25">
      <c r="A110" t="str">
        <f>"308281"</f>
        <v>308281</v>
      </c>
      <c r="B110" t="str">
        <f>"81983773075"</f>
        <v>81983773075</v>
      </c>
      <c r="C110" t="str">
        <f>"EVERYDAY COUNTER-BIRTHDAY FEMININE SMALL PKG/6-J0308"</f>
        <v>EVERYDAY COUNTER-BIRTHDAY FEMININE SMALL PKG/6-J0308</v>
      </c>
      <c r="D110" t="str">
        <f>"J0308"</f>
        <v>J0308</v>
      </c>
      <c r="E110" t="str">
        <f>"ED08A109"</f>
        <v>ED08A109</v>
      </c>
    </row>
    <row r="111" spans="1:5" x14ac:dyDescent="0.25">
      <c r="A111" t="str">
        <f>"279723"</f>
        <v>279723</v>
      </c>
      <c r="B111" t="str">
        <f>"81983764042"</f>
        <v>81983764042</v>
      </c>
      <c r="C111" t="str">
        <f>"EVERYDAY COUNTER-BIRTHDAY-SPECIAL FRIEND PKG/6-J9015"</f>
        <v>EVERYDAY COUNTER-BIRTHDAY-SPECIAL FRIEND PKG/6-J9015</v>
      </c>
      <c r="D111" t="str">
        <f>"J9015"</f>
        <v>J9015</v>
      </c>
      <c r="E111" t="str">
        <f>"ED08A110"</f>
        <v>ED08A110</v>
      </c>
    </row>
    <row r="112" spans="1:5" x14ac:dyDescent="0.25">
      <c r="A112" t="str">
        <f>"308188"</f>
        <v>308188</v>
      </c>
      <c r="B112" t="str">
        <f>"81983536014"</f>
        <v>81983536014</v>
      </c>
      <c r="C112" t="str">
        <f>"EVERYDAY COUNTER-SPECIAL FRIEND FEMINE-86905"</f>
        <v>EVERYDAY COUNTER-SPECIAL FRIEND FEMINE-86905</v>
      </c>
      <c r="D112" t="str">
        <f>"86905"</f>
        <v>86905</v>
      </c>
      <c r="E112" t="str">
        <f>"ED08A111"</f>
        <v>ED08A111</v>
      </c>
    </row>
    <row r="113" spans="1:5" x14ac:dyDescent="0.25">
      <c r="A113" t="str">
        <f>"308185"</f>
        <v>308185</v>
      </c>
      <c r="B113" t="str">
        <f>"81983773266"</f>
        <v>81983773266</v>
      </c>
      <c r="C113" t="str">
        <f>"EVERYDAY COUNTER-SPECIAL FRIEND FEMININE-86897"</f>
        <v>EVERYDAY COUNTER-SPECIAL FRIEND FEMININE-86897</v>
      </c>
      <c r="D113" t="str">
        <f>"86897"</f>
        <v>86897</v>
      </c>
      <c r="E113" t="str">
        <f>"ED08A112"</f>
        <v>ED08A112</v>
      </c>
    </row>
    <row r="114" spans="1:5" x14ac:dyDescent="0.25">
      <c r="A114" t="str">
        <f>"349501"</f>
        <v>349501</v>
      </c>
      <c r="B114" t="str">
        <f>"81983777615"</f>
        <v>81983777615</v>
      </c>
      <c r="C114" t="str">
        <f>"EVERYDAY COUNTER-BIRTHDAY PKG/6-U0382"</f>
        <v>EVERYDAY COUNTER-BIRTHDAY PKG/6-U0382</v>
      </c>
      <c r="D114" t="str">
        <f>"U0382"</f>
        <v>U0382</v>
      </c>
      <c r="E114" t="str">
        <f>"ED08A113"</f>
        <v>ED08A113</v>
      </c>
    </row>
    <row r="115" spans="1:5" x14ac:dyDescent="0.25">
      <c r="A115" t="str">
        <f>"349502"</f>
        <v>349502</v>
      </c>
      <c r="B115" t="str">
        <f>"81983777622"</f>
        <v>81983777622</v>
      </c>
      <c r="C115" t="str">
        <f>"EVERYDAY COUNTER-BIRTHDAY PKG/6-U0383"</f>
        <v>EVERYDAY COUNTER-BIRTHDAY PKG/6-U0383</v>
      </c>
      <c r="D115" t="str">
        <f>"U0383"</f>
        <v>U0383</v>
      </c>
      <c r="E115" t="str">
        <f>"ED08A114"</f>
        <v>ED08A114</v>
      </c>
    </row>
    <row r="116" spans="1:5" x14ac:dyDescent="0.25">
      <c r="A116" t="str">
        <f>"345236"</f>
        <v>345236</v>
      </c>
      <c r="B116" t="str">
        <f>"81983793608"</f>
        <v>81983793608</v>
      </c>
      <c r="C116" t="str">
        <f>"EVERYDAY COUNTER-ANNIVERSARY PKG/6-U2576"</f>
        <v>EVERYDAY COUNTER-ANNIVERSARY PKG/6-U2576</v>
      </c>
      <c r="D116" t="str">
        <f>"U2576"</f>
        <v>U2576</v>
      </c>
      <c r="E116" t="str">
        <f>"ED08B001"</f>
        <v>ED08B001</v>
      </c>
    </row>
    <row r="117" spans="1:5" x14ac:dyDescent="0.25">
      <c r="A117" t="str">
        <f>"298681"</f>
        <v>298681</v>
      </c>
      <c r="B117" t="str">
        <f>"81983772757"</f>
        <v>81983772757</v>
      </c>
      <c r="C117" t="str">
        <f>"EVERYDAY COUNTER-ANNIVERSARY PKG/6-10251"</f>
        <v>EVERYDAY COUNTER-ANNIVERSARY PKG/6-10251</v>
      </c>
      <c r="D117" t="str">
        <f>"10251"</f>
        <v>10251</v>
      </c>
      <c r="E117" t="str">
        <f>"ED08B002"</f>
        <v>ED08B002</v>
      </c>
    </row>
    <row r="118" spans="1:5" x14ac:dyDescent="0.25">
      <c r="A118" t="str">
        <f>"345264"</f>
        <v>345264</v>
      </c>
      <c r="B118" t="str">
        <f>"81983793837"</f>
        <v>81983793837</v>
      </c>
      <c r="C118" t="str">
        <f>"EVERYDAY COUNTER-THANK YOU PKG/6-U2599"</f>
        <v>EVERYDAY COUNTER-THANK YOU PKG/6-U2599</v>
      </c>
      <c r="D118" t="str">
        <f>"U2599"</f>
        <v>U2599</v>
      </c>
      <c r="E118" t="str">
        <f>"ED08B003"</f>
        <v>ED08B003</v>
      </c>
    </row>
    <row r="119" spans="1:5" x14ac:dyDescent="0.25">
      <c r="A119" t="str">
        <f>"345255"</f>
        <v>345255</v>
      </c>
      <c r="B119" t="str">
        <f>"81983793769"</f>
        <v>81983793769</v>
      </c>
      <c r="C119" t="str">
        <f>"EVERYDAY COUNTER-BAPTISM ADULT PKG/6"</f>
        <v>EVERYDAY COUNTER-BAPTISM ADULT PKG/6</v>
      </c>
      <c r="D119" t="str">
        <f>"U2592"</f>
        <v>U2592</v>
      </c>
      <c r="E119" t="str">
        <f>"ED08B004"</f>
        <v>ED08B004</v>
      </c>
    </row>
    <row r="120" spans="1:5" x14ac:dyDescent="0.25">
      <c r="A120" t="str">
        <f>"345243"</f>
        <v>345243</v>
      </c>
      <c r="B120" t="str">
        <f>"81983793660"</f>
        <v>81983793660</v>
      </c>
      <c r="C120" t="str">
        <f>"EVERYDAY COUNTER-FRIENDSHIP PKG/6-U2582"</f>
        <v>EVERYDAY COUNTER-FRIENDSHIP PKG/6-U2582</v>
      </c>
      <c r="D120" t="str">
        <f>"U2582"</f>
        <v>U2582</v>
      </c>
      <c r="E120" t="str">
        <f>"ED08B005"</f>
        <v>ED08B005</v>
      </c>
    </row>
    <row r="121" spans="1:5" x14ac:dyDescent="0.25">
      <c r="A121" t="str">
        <f>"345242"</f>
        <v>345242</v>
      </c>
      <c r="B121" t="str">
        <f>"81983793653"</f>
        <v>81983793653</v>
      </c>
      <c r="C121" t="str">
        <f>"EVERYDAY COUNTER-ENCOURAGEMENT PKG/6-U2581"</f>
        <v>EVERYDAY COUNTER-ENCOURAGEMENT PKG/6-U2581</v>
      </c>
      <c r="D121" t="str">
        <f>"U2581"</f>
        <v>U2581</v>
      </c>
      <c r="E121" t="str">
        <f>"ED08B006"</f>
        <v>ED08B006</v>
      </c>
    </row>
    <row r="122" spans="1:5" x14ac:dyDescent="0.25">
      <c r="A122" t="str">
        <f>"345260"</f>
        <v>345260</v>
      </c>
      <c r="B122" t="str">
        <f>"81983793790"</f>
        <v>81983793790</v>
      </c>
      <c r="C122" t="str">
        <f>"EVERYDAY COUNTER-SYMPATHY PKG/6-U2595"</f>
        <v>EVERYDAY COUNTER-SYMPATHY PKG/6-U2595</v>
      </c>
      <c r="D122" t="str">
        <f>"U2595"</f>
        <v>U2595</v>
      </c>
      <c r="E122" t="str">
        <f>"ED08B007"</f>
        <v>ED08B007</v>
      </c>
    </row>
    <row r="123" spans="1:5" x14ac:dyDescent="0.25">
      <c r="A123" t="str">
        <f>"298811"</f>
        <v>298811</v>
      </c>
      <c r="B123" t="str">
        <f>"81983772252"</f>
        <v>81983772252</v>
      </c>
      <c r="C123" t="str">
        <f>"EVERYDAY COUNTER-SYMPATHY - LOSS OF MOM-J9937"</f>
        <v>EVERYDAY COUNTER-SYMPATHY - LOSS OF MOM-J9937</v>
      </c>
      <c r="D123" t="str">
        <f>"J9937"</f>
        <v>J9937</v>
      </c>
      <c r="E123" t="str">
        <f>"ED08B008"</f>
        <v>ED08B008</v>
      </c>
    </row>
    <row r="124" spans="1:5" x14ac:dyDescent="0.25">
      <c r="A124" t="str">
        <f>"345235"</f>
        <v>345235</v>
      </c>
      <c r="B124" t="str">
        <f>"81983793592"</f>
        <v>81983793592</v>
      </c>
      <c r="C124" t="str">
        <f>"EVERYDAY COUNTER-ANNIVERSARY PKG/6-U2575"</f>
        <v>EVERYDAY COUNTER-ANNIVERSARY PKG/6-U2575</v>
      </c>
      <c r="D124" t="str">
        <f>"U2575"</f>
        <v>U2575</v>
      </c>
      <c r="E124" t="str">
        <f>"ED08B009"</f>
        <v>ED08B009</v>
      </c>
    </row>
    <row r="125" spans="1:5" x14ac:dyDescent="0.25">
      <c r="A125" t="str">
        <f>"308434"</f>
        <v>308434</v>
      </c>
      <c r="B125" t="str">
        <f>"81983721540"</f>
        <v>81983721540</v>
      </c>
      <c r="C125" t="str">
        <f>"EVERYDAY COUNTER-ANNIVERSARY/WARM CONGRATS ON YOUR 50TH PKG/6-J3406"</f>
        <v>EVERYDAY COUNTER-ANNIVERSARY/WARM CONGRATS ON YOUR 50TH PKG/6-J3406</v>
      </c>
      <c r="D125" t="str">
        <f>"J3406"</f>
        <v>J3406</v>
      </c>
      <c r="E125" t="str">
        <f>"ED08B010"</f>
        <v>ED08B010</v>
      </c>
    </row>
    <row r="126" spans="1:5" x14ac:dyDescent="0.25">
      <c r="A126" t="str">
        <f>"308159"</f>
        <v>308159</v>
      </c>
      <c r="B126" t="str">
        <f>"81983772276"</f>
        <v>81983772276</v>
      </c>
      <c r="C126" t="str">
        <f>"EVERYDAY COUNTER-THANK YOU - FOR ANYONE-J9939"</f>
        <v>EVERYDAY COUNTER-THANK YOU - FOR ANYONE-J9939</v>
      </c>
      <c r="D126" t="str">
        <f>"J9939"</f>
        <v>J9939</v>
      </c>
      <c r="E126" t="str">
        <f>"ED08B011"</f>
        <v>ED08B011</v>
      </c>
    </row>
    <row r="127" spans="1:5" x14ac:dyDescent="0.25">
      <c r="A127" t="str">
        <f>"308244"</f>
        <v>308244</v>
      </c>
      <c r="B127" t="str">
        <f>"81983678882"</f>
        <v>81983678882</v>
      </c>
      <c r="C127" t="str">
        <f>"EVERYDAY COUNTER-BAPTISM PKG/6-92185"</f>
        <v>EVERYDAY COUNTER-BAPTISM PKG/6-92185</v>
      </c>
      <c r="D127" t="str">
        <f>"92185"</f>
        <v>92185</v>
      </c>
      <c r="E127" t="str">
        <f>"ED08B012"</f>
        <v>ED08B012</v>
      </c>
    </row>
    <row r="128" spans="1:5" x14ac:dyDescent="0.25">
      <c r="A128" t="str">
        <f>"307910"</f>
        <v>307910</v>
      </c>
      <c r="B128" t="str">
        <f>"81983771972"</f>
        <v>81983771972</v>
      </c>
      <c r="C128" t="str">
        <f>"EVERYDAY COUNTER-FRIENDSHIP-FOR ANYONE-J9909"</f>
        <v>EVERYDAY COUNTER-FRIENDSHIP-FOR ANYONE-J9909</v>
      </c>
      <c r="D128" t="str">
        <f>"J9909"</f>
        <v>J9909</v>
      </c>
      <c r="E128" t="str">
        <f>"ED08B013"</f>
        <v>ED08B013</v>
      </c>
    </row>
    <row r="129" spans="1:5" x14ac:dyDescent="0.25">
      <c r="A129" t="str">
        <f>"307977"</f>
        <v>307977</v>
      </c>
      <c r="B129" t="str">
        <f>"81983771873"</f>
        <v>81983771873</v>
      </c>
      <c r="C129" t="str">
        <f>"EVERYDAY COUNTER-ENC-FOR ANYONE (Pk/6)-J9899"</f>
        <v>EVERYDAY COUNTER-ENC-FOR ANYONE (Pk/6)-J9899</v>
      </c>
      <c r="D129" t="str">
        <f>"J9899"</f>
        <v>J9899</v>
      </c>
      <c r="E129" t="str">
        <f>"ED08B014"</f>
        <v>ED08B014</v>
      </c>
    </row>
    <row r="130" spans="1:5" x14ac:dyDescent="0.25">
      <c r="A130" t="str">
        <f>"345259"</f>
        <v>345259</v>
      </c>
      <c r="B130" t="str">
        <f>"81983793783"</f>
        <v>81983793783</v>
      </c>
      <c r="C130" t="str">
        <f>"EVERYDAY COUNTER-SYMPATHY PKG/6-U2594"</f>
        <v>EVERYDAY COUNTER-SYMPATHY PKG/6-U2594</v>
      </c>
      <c r="D130" t="str">
        <f>"U2594"</f>
        <v>U2594</v>
      </c>
      <c r="E130" t="str">
        <f>"ED08B015"</f>
        <v>ED08B015</v>
      </c>
    </row>
    <row r="131" spans="1:5" x14ac:dyDescent="0.25">
      <c r="A131" t="str">
        <f>"298813"</f>
        <v>298813</v>
      </c>
      <c r="B131" t="str">
        <f>"81983772238"</f>
        <v>81983772238</v>
      </c>
      <c r="C131" t="str">
        <f>"EVERYDAY COUNTER-SYMPATHY - LOSS OF DAD-J9935"</f>
        <v>EVERYDAY COUNTER-SYMPATHY - LOSS OF DAD-J9935</v>
      </c>
      <c r="D131" t="str">
        <f>"J9935"</f>
        <v>J9935</v>
      </c>
      <c r="E131" t="str">
        <f>"ED08B016"</f>
        <v>ED08B016</v>
      </c>
    </row>
    <row r="132" spans="1:5" x14ac:dyDescent="0.25">
      <c r="A132" t="str">
        <f>"298728"</f>
        <v>298728</v>
      </c>
      <c r="B132" t="str">
        <f>"81983771736"</f>
        <v>81983771736</v>
      </c>
      <c r="C132" t="str">
        <f>"EVERYDAY COUNTER-ANNIVERSARY-WIFE PKG/6-J9885"</f>
        <v>EVERYDAY COUNTER-ANNIVERSARY-WIFE PKG/6-J9885</v>
      </c>
      <c r="D132" t="str">
        <f>"J9885"</f>
        <v>J9885</v>
      </c>
      <c r="E132" t="str">
        <f>"ED08B017"</f>
        <v>ED08B017</v>
      </c>
    </row>
    <row r="133" spans="1:5" x14ac:dyDescent="0.25">
      <c r="A133" t="str">
        <f>"298672"</f>
        <v>298672</v>
      </c>
      <c r="B133" t="str">
        <f>"81983772733"</f>
        <v>81983772733</v>
      </c>
      <c r="C133" t="str">
        <f>"EVERYDAY COUNTER-ANNIVERSARY 50TH PKG/6-10236"</f>
        <v>EVERYDAY COUNTER-ANNIVERSARY 50TH PKG/6-10236</v>
      </c>
      <c r="D133" t="str">
        <f>"10236"</f>
        <v>10236</v>
      </c>
      <c r="E133" t="str">
        <f>"ED08B018"</f>
        <v>ED08B018</v>
      </c>
    </row>
    <row r="134" spans="1:5" x14ac:dyDescent="0.25">
      <c r="A134" t="str">
        <f>"345265"</f>
        <v>345265</v>
      </c>
      <c r="B134" t="str">
        <f>"81983793844"</f>
        <v>81983793844</v>
      </c>
      <c r="C134" t="str">
        <f>"EVERYDAY COUNTER-THANK YOU PK/6-U2600"</f>
        <v>EVERYDAY COUNTER-THANK YOU PK/6-U2600</v>
      </c>
      <c r="D134" t="str">
        <f>"U2600"</f>
        <v>U2600</v>
      </c>
      <c r="E134" t="str">
        <f>"ED08B019"</f>
        <v>ED08B019</v>
      </c>
    </row>
    <row r="135" spans="1:5" x14ac:dyDescent="0.25">
      <c r="A135" t="str">
        <f>"298700"</f>
        <v>298700</v>
      </c>
      <c r="B135" t="str">
        <f>"81983652356"</f>
        <v>81983652356</v>
      </c>
      <c r="C135" t="str">
        <f>"EVERYDAY COUNTER-BAPTISM ADULT PKG/6-10278"</f>
        <v>EVERYDAY COUNTER-BAPTISM ADULT PKG/6-10278</v>
      </c>
      <c r="D135" t="str">
        <f>"10278"</f>
        <v>10278</v>
      </c>
      <c r="E135" t="str">
        <f>"ED08B020"</f>
        <v>ED08B020</v>
      </c>
    </row>
    <row r="136" spans="1:5" x14ac:dyDescent="0.25">
      <c r="A136" t="str">
        <f>"298765"</f>
        <v>298765</v>
      </c>
      <c r="B136" t="str">
        <f>"81983771989"</f>
        <v>81983771989</v>
      </c>
      <c r="C136" t="str">
        <f>"EVERYDAY COUNTER-FRIENDSHIP-TOY-J9910"</f>
        <v>EVERYDAY COUNTER-FRIENDSHIP-TOY-J9910</v>
      </c>
      <c r="D136" t="str">
        <f>"J9910"</f>
        <v>J9910</v>
      </c>
      <c r="E136" t="str">
        <f>"ED08B021"</f>
        <v>ED08B021</v>
      </c>
    </row>
    <row r="137" spans="1:5" x14ac:dyDescent="0.25">
      <c r="A137" t="str">
        <f>"345241"</f>
        <v>345241</v>
      </c>
      <c r="B137" t="str">
        <f>"81983793646"</f>
        <v>81983793646</v>
      </c>
      <c r="C137" t="str">
        <f>"EVERYDAY COUNTER-ENCOURAGEMENT PKG/6-U2580"</f>
        <v>EVERYDAY COUNTER-ENCOURAGEMENT PKG/6-U2580</v>
      </c>
      <c r="D137" t="str">
        <f>"U2580"</f>
        <v>U2580</v>
      </c>
      <c r="E137" t="str">
        <f>"ED08B022"</f>
        <v>ED08B022</v>
      </c>
    </row>
    <row r="138" spans="1:5" x14ac:dyDescent="0.25">
      <c r="A138" t="str">
        <f>"298738"</f>
        <v>298738</v>
      </c>
      <c r="B138" t="str">
        <f>"81983593161"</f>
        <v>81983593161</v>
      </c>
      <c r="C138" t="str">
        <f>"EVERYDAY COUNTER-SYM-FOR ANYONE-11712"</f>
        <v>EVERYDAY COUNTER-SYM-FOR ANYONE-11712</v>
      </c>
      <c r="D138" t="str">
        <f>"11712"</f>
        <v>11712</v>
      </c>
      <c r="E138" t="str">
        <f>"ED08B023"</f>
        <v>ED08B023</v>
      </c>
    </row>
    <row r="139" spans="1:5" x14ac:dyDescent="0.25">
      <c r="A139" t="str">
        <f>"345263"</f>
        <v>345263</v>
      </c>
      <c r="B139" t="str">
        <f>"81983793820"</f>
        <v>81983793820</v>
      </c>
      <c r="C139" t="str">
        <f>"EVERYDAY COUNTER-SYMPATHY/LOSS OF WIFE PKG/6"</f>
        <v>EVERYDAY COUNTER-SYMPATHY/LOSS OF WIFE PKG/6</v>
      </c>
      <c r="D139" t="str">
        <f>"U2598"</f>
        <v>U2598</v>
      </c>
      <c r="E139" t="str">
        <f>"ED08B024"</f>
        <v>ED08B024</v>
      </c>
    </row>
    <row r="140" spans="1:5" x14ac:dyDescent="0.25">
      <c r="A140" t="str">
        <f>"308137"</f>
        <v>308137</v>
      </c>
      <c r="B140" t="str">
        <f>"81983678653"</f>
        <v>81983678653</v>
      </c>
      <c r="C140" t="str">
        <f>"EVERYDAY COUNTER-ANNIVERSARY-WIFE/PARTNER &amp; FRIEND PKG/6-79256"</f>
        <v>EVERYDAY COUNTER-ANNIVERSARY-WIFE/PARTNER &amp; FRIEND PKG/6-79256</v>
      </c>
      <c r="D140" t="str">
        <f>"79256"</f>
        <v>79256</v>
      </c>
      <c r="E140" t="str">
        <f>"ED08B025"</f>
        <v>ED08B025</v>
      </c>
    </row>
    <row r="141" spans="1:5" x14ac:dyDescent="0.25">
      <c r="A141" t="str">
        <f>"308194"</f>
        <v>308194</v>
      </c>
      <c r="B141" t="str">
        <f>"81983677045"</f>
        <v>81983677045</v>
      </c>
      <c r="C141" t="str">
        <f>"EVERYDAY COUNTER-ANNIVERSARY-25TH PKG/6-91969"</f>
        <v>EVERYDAY COUNTER-ANNIVERSARY-25TH PKG/6-91969</v>
      </c>
      <c r="D141" t="str">
        <f>"91969"</f>
        <v>91969</v>
      </c>
      <c r="E141" t="str">
        <f>"ED08B026"</f>
        <v>ED08B026</v>
      </c>
    </row>
    <row r="142" spans="1:5" x14ac:dyDescent="0.25">
      <c r="A142" t="str">
        <f>"308158"</f>
        <v>308158</v>
      </c>
      <c r="B142" t="str">
        <f>"81983772283"</f>
        <v>81983772283</v>
      </c>
      <c r="C142" t="str">
        <f>"EVERYDAY COUNTER-THANK YOU - FOR ANYONE-J9940"</f>
        <v>EVERYDAY COUNTER-THANK YOU - FOR ANYONE-J9940</v>
      </c>
      <c r="D142" t="str">
        <f>"J9940"</f>
        <v>J9940</v>
      </c>
      <c r="E142" t="str">
        <f>"ED08B027"</f>
        <v>ED08B027</v>
      </c>
    </row>
    <row r="143" spans="1:5" x14ac:dyDescent="0.25">
      <c r="A143" t="str">
        <f>"308008"</f>
        <v>308008</v>
      </c>
      <c r="B143" t="str">
        <f>"81983772115"</f>
        <v>81983772115</v>
      </c>
      <c r="C143" t="str">
        <f>"EVERYDAY COUNTER-YOUTH BAPTISM-J9923"</f>
        <v>EVERYDAY COUNTER-YOUTH BAPTISM-J9923</v>
      </c>
      <c r="D143" t="str">
        <f>"J9923"</f>
        <v>J9923</v>
      </c>
      <c r="E143" t="str">
        <f>"ED08B028"</f>
        <v>ED08B028</v>
      </c>
    </row>
    <row r="144" spans="1:5" x14ac:dyDescent="0.25">
      <c r="A144" t="str">
        <f>"308039"</f>
        <v>308039</v>
      </c>
      <c r="B144" t="str">
        <f>"81983643057"</f>
        <v>81983643057</v>
      </c>
      <c r="C144" t="str">
        <f>"EVERYDAY COUNTER-FRIENDSHIP-72713"</f>
        <v>EVERYDAY COUNTER-FRIENDSHIP-72713</v>
      </c>
      <c r="D144" t="str">
        <f>"72713"</f>
        <v>72713</v>
      </c>
      <c r="E144" t="str">
        <f>"ED08B029"</f>
        <v>ED08B029</v>
      </c>
    </row>
    <row r="145" spans="1:5" x14ac:dyDescent="0.25">
      <c r="A145" t="str">
        <f>"308052"</f>
        <v>308052</v>
      </c>
      <c r="B145" t="str">
        <f>"81983773389"</f>
        <v>81983773389</v>
      </c>
      <c r="C145" t="str">
        <f>"EVERYDAY COUNTER-ENCOURAGEMENT-72803"</f>
        <v>EVERYDAY COUNTER-ENCOURAGEMENT-72803</v>
      </c>
      <c r="D145" t="str">
        <f>"72803"</f>
        <v>72803</v>
      </c>
      <c r="E145" t="str">
        <f>"ED08B030"</f>
        <v>ED08B030</v>
      </c>
    </row>
    <row r="146" spans="1:5" x14ac:dyDescent="0.25">
      <c r="A146" t="str">
        <f>"308250"</f>
        <v>308250</v>
      </c>
      <c r="B146" t="str">
        <f>"81983774386"</f>
        <v>81983774386</v>
      </c>
      <c r="C146" t="str">
        <f>"EVERYDAY COUNTER-SYMPATHY PKG/6-92192"</f>
        <v>EVERYDAY COUNTER-SYMPATHY PKG/6-92192</v>
      </c>
      <c r="D146" t="str">
        <f>"92192"</f>
        <v>92192</v>
      </c>
      <c r="E146" t="str">
        <f>"ED08B031"</f>
        <v>ED08B031</v>
      </c>
    </row>
    <row r="147" spans="1:5" x14ac:dyDescent="0.25">
      <c r="A147" t="str">
        <f>"307932"</f>
        <v>307932</v>
      </c>
      <c r="B147" t="str">
        <f>"81983772245"</f>
        <v>81983772245</v>
      </c>
      <c r="C147" t="str">
        <f>"EVERYDAY COUNTER-SYMPATHY - LOSS OF HUSBAND-J9936"</f>
        <v>EVERYDAY COUNTER-SYMPATHY - LOSS OF HUSBAND-J9936</v>
      </c>
      <c r="D147" t="str">
        <f>"J9936"</f>
        <v>J9936</v>
      </c>
      <c r="E147" t="str">
        <f>"ED08B032"</f>
        <v>ED08B032</v>
      </c>
    </row>
    <row r="148" spans="1:5" x14ac:dyDescent="0.25">
      <c r="A148" t="str">
        <f>"308437"</f>
        <v>308437</v>
      </c>
      <c r="B148" t="str">
        <f>"81983721618"</f>
        <v>81983721618</v>
      </c>
      <c r="C148" t="str">
        <f>"EVERYDAY COUNTER-WIFE ANNIVERSARY/PINK WITH FLOWERS PKG/6-J3413"</f>
        <v>EVERYDAY COUNTER-WIFE ANNIVERSARY/PINK WITH FLOWERS PKG/6-J3413</v>
      </c>
      <c r="D148" t="str">
        <f>"J3413"</f>
        <v>J3413</v>
      </c>
      <c r="E148" t="str">
        <f>"ED08B033"</f>
        <v>ED08B033</v>
      </c>
    </row>
    <row r="149" spans="1:5" x14ac:dyDescent="0.25">
      <c r="A149" t="str">
        <f>"308191"</f>
        <v>308191</v>
      </c>
      <c r="B149" t="str">
        <f>"81983772696"</f>
        <v>81983772696</v>
      </c>
      <c r="C149" t="str">
        <f>"EVERYDAY COUNTER-ANNIVERSARY-1ST PKG/6-91967"</f>
        <v>EVERYDAY COUNTER-ANNIVERSARY-1ST PKG/6-91967</v>
      </c>
      <c r="D149" t="str">
        <f>"91967"</f>
        <v>91967</v>
      </c>
      <c r="E149" t="str">
        <f>"ED08B034"</f>
        <v>ED08B034</v>
      </c>
    </row>
    <row r="150" spans="1:5" x14ac:dyDescent="0.25">
      <c r="A150" t="str">
        <f>"401611"</f>
        <v>401611</v>
      </c>
      <c r="B150" t="str">
        <f>"81983678677"</f>
        <v>81983678677</v>
      </c>
      <c r="C150" t="str">
        <f>"EVERYDAY COUNTER-THANK YOU-82376"</f>
        <v>EVERYDAY COUNTER-THANK YOU-82376</v>
      </c>
      <c r="D150" t="str">
        <f>"82376"</f>
        <v>82376</v>
      </c>
      <c r="E150" t="str">
        <f>"ED08B035"</f>
        <v>ED08B035</v>
      </c>
    </row>
    <row r="151" spans="1:5" x14ac:dyDescent="0.25">
      <c r="A151" t="str">
        <f>"308220"</f>
        <v>308220</v>
      </c>
      <c r="B151" t="str">
        <f>"81983677427"</f>
        <v>81983677427</v>
      </c>
      <c r="C151" t="str">
        <f>"EVERYDAY COUNTER-YOUTH BAPTISM PKG/6-91999"</f>
        <v>EVERYDAY COUNTER-YOUTH BAPTISM PKG/6-91999</v>
      </c>
      <c r="D151" t="str">
        <f>"91999"</f>
        <v>91999</v>
      </c>
      <c r="E151" t="str">
        <f>"ED08B036"</f>
        <v>ED08B036</v>
      </c>
    </row>
    <row r="152" spans="1:5" x14ac:dyDescent="0.25">
      <c r="A152" t="str">
        <f>"308214"</f>
        <v>308214</v>
      </c>
      <c r="B152" t="str">
        <f>"81983677366"</f>
        <v>81983677366</v>
      </c>
      <c r="C152" t="str">
        <f>"EVERYDAY COUNTER-FRIENDSHIP-MISS YOU PKG/6-91993"</f>
        <v>EVERYDAY COUNTER-FRIENDSHIP-MISS YOU PKG/6-91993</v>
      </c>
      <c r="D152" t="str">
        <f>"91993"</f>
        <v>91993</v>
      </c>
      <c r="E152" t="str">
        <f>"ED08B037"</f>
        <v>ED08B037</v>
      </c>
    </row>
    <row r="153" spans="1:5" x14ac:dyDescent="0.25">
      <c r="A153" t="str">
        <f>"307898"</f>
        <v>307898</v>
      </c>
      <c r="B153" t="str">
        <f>"81983771880"</f>
        <v>81983771880</v>
      </c>
      <c r="C153" t="str">
        <f>"EVERYDAY COUNTER-ENC-FOR ANYONE (Pk/6)-J9900"</f>
        <v>EVERYDAY COUNTER-ENC-FOR ANYONE (Pk/6)-J9900</v>
      </c>
      <c r="D153" t="str">
        <f>"J9900"</f>
        <v>J9900</v>
      </c>
      <c r="E153" t="str">
        <f>"ED08B038"</f>
        <v>ED08B038</v>
      </c>
    </row>
    <row r="154" spans="1:5" x14ac:dyDescent="0.25">
      <c r="A154" t="str">
        <f>"279550"</f>
        <v>279550</v>
      </c>
      <c r="B154" t="str">
        <f>"81983749186"</f>
        <v>81983749186</v>
      </c>
      <c r="C154" t="str">
        <f>"EVERYDAY COUNTER-SYMPATHY PKG/6-J6746"</f>
        <v>EVERYDAY COUNTER-SYMPATHY PKG/6-J6746</v>
      </c>
      <c r="D154" t="str">
        <f>"J6746"</f>
        <v>J6746</v>
      </c>
      <c r="E154" t="str">
        <f>"ED08B039"</f>
        <v>ED08B039</v>
      </c>
    </row>
    <row r="155" spans="1:5" x14ac:dyDescent="0.25">
      <c r="A155" t="str">
        <f>"298730"</f>
        <v>298730</v>
      </c>
      <c r="B155" t="str">
        <f>"81983774607"</f>
        <v>81983774607</v>
      </c>
      <c r="C155" t="str">
        <f>"EVERYDAY COUNTER-SYM-LOSS OF DAUGHTER-11528"</f>
        <v>EVERYDAY COUNTER-SYM-LOSS OF DAUGHTER-11528</v>
      </c>
      <c r="D155" t="str">
        <f>"11528"</f>
        <v>11528</v>
      </c>
      <c r="E155" t="str">
        <f>"ED08B040"</f>
        <v>ED08B040</v>
      </c>
    </row>
    <row r="156" spans="1:5" x14ac:dyDescent="0.25">
      <c r="A156" t="str">
        <f>"308104"</f>
        <v>308104</v>
      </c>
      <c r="B156" t="str">
        <f>"81983771668"</f>
        <v>81983771668</v>
      </c>
      <c r="C156" t="str">
        <f>"EVERYDAY COUNTER-ON YOUR ANNIVERSARY-J9878"</f>
        <v>EVERYDAY COUNTER-ON YOUR ANNIVERSARY-J9878</v>
      </c>
      <c r="D156" t="str">
        <f>"J9878"</f>
        <v>J9878</v>
      </c>
      <c r="E156" t="str">
        <f>"ED08B041"</f>
        <v>ED08B041</v>
      </c>
    </row>
    <row r="157" spans="1:5" x14ac:dyDescent="0.25">
      <c r="A157" t="str">
        <f>"345234"</f>
        <v>345234</v>
      </c>
      <c r="B157" t="str">
        <f>"81983793585"</f>
        <v>81983793585</v>
      </c>
      <c r="C157" t="str">
        <f>"EVERYDAY COUNTER-ANNIVERSARY-MOM/DAD PKG/6"</f>
        <v>EVERYDAY COUNTER-ANNIVERSARY-MOM/DAD PKG/6</v>
      </c>
      <c r="D157" t="str">
        <f>"U2574"</f>
        <v>U2574</v>
      </c>
      <c r="E157" t="str">
        <f>"ED08B042"</f>
        <v>ED08B042</v>
      </c>
    </row>
    <row r="158" spans="1:5" x14ac:dyDescent="0.25">
      <c r="A158" t="str">
        <f>"308115"</f>
        <v>308115</v>
      </c>
      <c r="B158" t="str">
        <f>"81983584640"</f>
        <v>81983584640</v>
      </c>
      <c r="C158" t="str">
        <f>"EVERYDAY COUNTER-THANK YOU-78829"</f>
        <v>EVERYDAY COUNTER-THANK YOU-78829</v>
      </c>
      <c r="D158" t="str">
        <f>"78829"</f>
        <v>78829</v>
      </c>
      <c r="E158" t="str">
        <f>"ED08B043"</f>
        <v>ED08B043</v>
      </c>
    </row>
    <row r="159" spans="1:5" x14ac:dyDescent="0.25">
      <c r="A159" t="str">
        <f>"279610"</f>
        <v>279610</v>
      </c>
      <c r="B159" t="str">
        <f>"81983757563"</f>
        <v>81983757563</v>
      </c>
      <c r="C159" t="str">
        <f>"EVERYDAY COUNTER-SPIRITUAL OCC BAPTISM BABY PKG/6-J8204"</f>
        <v>EVERYDAY COUNTER-SPIRITUAL OCC BAPTISM BABY PKG/6-J8204</v>
      </c>
      <c r="D159" t="str">
        <f>"J8204"</f>
        <v>J8204</v>
      </c>
      <c r="E159" t="str">
        <f>"ED08B044"</f>
        <v>ED08B044</v>
      </c>
    </row>
    <row r="160" spans="1:5" x14ac:dyDescent="0.25">
      <c r="A160" t="str">
        <f>"308016"</f>
        <v>308016</v>
      </c>
      <c r="B160" t="str">
        <f>"81983562914"</f>
        <v>81983562914</v>
      </c>
      <c r="C160" t="str">
        <f>"EVERYDAY COUNTER-BUSY MOM ENCOURAGEMENT-66647"</f>
        <v>EVERYDAY COUNTER-BUSY MOM ENCOURAGEMENT-66647</v>
      </c>
      <c r="D160" t="str">
        <f>"66647"</f>
        <v>66647</v>
      </c>
      <c r="E160" t="str">
        <f>"ED08B045"</f>
        <v>ED08B045</v>
      </c>
    </row>
    <row r="161" spans="1:5" x14ac:dyDescent="0.25">
      <c r="A161" t="str">
        <f>"298750"</f>
        <v>298750</v>
      </c>
      <c r="B161" t="str">
        <f>"81983771897"</f>
        <v>81983771897</v>
      </c>
      <c r="C161" t="str">
        <f>"EVERYDAY COUNTER-ENC-FOR ANYONE-J9901"</f>
        <v>EVERYDAY COUNTER-ENC-FOR ANYONE-J9901</v>
      </c>
      <c r="D161" t="str">
        <f>"J9901"</f>
        <v>J9901</v>
      </c>
      <c r="E161" t="str">
        <f>"ED08B046"</f>
        <v>ED08B046</v>
      </c>
    </row>
    <row r="162" spans="1:5" x14ac:dyDescent="0.25">
      <c r="A162" t="str">
        <f>"345248"</f>
        <v>345248</v>
      </c>
      <c r="B162" t="str">
        <f>"81983793691"</f>
        <v>81983793691</v>
      </c>
      <c r="C162" t="str">
        <f>"EVERYDAY COUNTER-GET WELL HUMOR PKG/6"</f>
        <v>EVERYDAY COUNTER-GET WELL HUMOR PKG/6</v>
      </c>
      <c r="D162" t="str">
        <f>"U2585"</f>
        <v>U2585</v>
      </c>
      <c r="E162" t="str">
        <f>"ED08B047"</f>
        <v>ED08B047</v>
      </c>
    </row>
    <row r="163" spans="1:5" x14ac:dyDescent="0.25">
      <c r="A163" t="str">
        <f>"308226"</f>
        <v>308226</v>
      </c>
      <c r="B163" t="str">
        <f>"81983677465"</f>
        <v>81983677465</v>
      </c>
      <c r="C163" t="str">
        <f>"EVERYDAY COUNTER-SYM-LOSS OF SON PKG/6-92003"</f>
        <v>EVERYDAY COUNTER-SYM-LOSS OF SON PKG/6-92003</v>
      </c>
      <c r="D163" t="str">
        <f>"92003"</f>
        <v>92003</v>
      </c>
      <c r="E163" t="str">
        <f>"ED08B048"</f>
        <v>ED08B048</v>
      </c>
    </row>
    <row r="164" spans="1:5" x14ac:dyDescent="0.25">
      <c r="A164" t="str">
        <f>"308103"</f>
        <v>308103</v>
      </c>
      <c r="B164" t="str">
        <f>"81983771675"</f>
        <v>81983771675</v>
      </c>
      <c r="C164" t="str">
        <f>"EVERYDAY COUNTER-ANNIVERSARY PKG/6-J9879"</f>
        <v>EVERYDAY COUNTER-ANNIVERSARY PKG/6-J9879</v>
      </c>
      <c r="D164" t="str">
        <f>"J9879"</f>
        <v>J9879</v>
      </c>
      <c r="E164" t="str">
        <f>"ED08B049"</f>
        <v>ED08B049</v>
      </c>
    </row>
    <row r="165" spans="1:5" x14ac:dyDescent="0.25">
      <c r="A165" t="str">
        <f>"298680"</f>
        <v>298680</v>
      </c>
      <c r="B165" t="str">
        <f>"81983652011"</f>
        <v>81983652011</v>
      </c>
      <c r="C165" t="str">
        <f>"EVERYDAY COUNTER-ANN FOR ANYONE PKG/6-10250"</f>
        <v>EVERYDAY COUNTER-ANN FOR ANYONE PKG/6-10250</v>
      </c>
      <c r="D165" t="str">
        <f>"10250"</f>
        <v>10250</v>
      </c>
      <c r="E165" t="str">
        <f>"ED08B050"</f>
        <v>ED08B050</v>
      </c>
    </row>
    <row r="166" spans="1:5" x14ac:dyDescent="0.25">
      <c r="A166" t="str">
        <f>"308152"</f>
        <v>308152</v>
      </c>
      <c r="B166" t="str">
        <f>"81983772313"</f>
        <v>81983772313</v>
      </c>
      <c r="C166" t="str">
        <f>"EVERYDAY COUNTER-THANK YOU - FOR ANYONE-J9943"</f>
        <v>EVERYDAY COUNTER-THANK YOU - FOR ANYONE-J9943</v>
      </c>
      <c r="D166" t="str">
        <f>"J9943"</f>
        <v>J9943</v>
      </c>
      <c r="E166" t="str">
        <f>"ED08B051"</f>
        <v>ED08B051</v>
      </c>
    </row>
    <row r="167" spans="1:5" x14ac:dyDescent="0.25">
      <c r="A167" t="str">
        <f>"345257"</f>
        <v>345257</v>
      </c>
      <c r="B167" t="str">
        <f>"81983793776"</f>
        <v>81983793776</v>
      </c>
      <c r="C167" t="str">
        <f>"EVERYDAY COUNTER-BAPTISM BABY PKG/6"</f>
        <v>EVERYDAY COUNTER-BAPTISM BABY PKG/6</v>
      </c>
      <c r="D167" t="str">
        <f>"U2593"</f>
        <v>U2593</v>
      </c>
      <c r="E167" t="str">
        <f>"ED08B052"</f>
        <v>ED08B052</v>
      </c>
    </row>
    <row r="168" spans="1:5" x14ac:dyDescent="0.25">
      <c r="A168" t="str">
        <f>"298747"</f>
        <v>298747</v>
      </c>
      <c r="B168" t="str">
        <f>"81983790676"</f>
        <v>81983790676</v>
      </c>
      <c r="C168" t="str">
        <f>"EVERYDAY COUNTER-ENC-JOB LOSS-11743"</f>
        <v>EVERYDAY COUNTER-ENC-JOB LOSS-11743</v>
      </c>
      <c r="D168" t="str">
        <f>"11743"</f>
        <v>11743</v>
      </c>
      <c r="E168" t="str">
        <f>"ED08B053"</f>
        <v>ED08B053</v>
      </c>
    </row>
    <row r="169" spans="1:5" x14ac:dyDescent="0.25">
      <c r="A169" t="str">
        <f>"307997"</f>
        <v>307997</v>
      </c>
      <c r="B169" t="str">
        <f>"81983771903"</f>
        <v>81983771903</v>
      </c>
      <c r="C169" t="str">
        <f>"EVERYDAY COUNTER-ENC-HOPE (Pk/6)-J9902"</f>
        <v>EVERYDAY COUNTER-ENC-HOPE (Pk/6)-J9902</v>
      </c>
      <c r="D169" t="str">
        <f>"J9902"</f>
        <v>J9902</v>
      </c>
      <c r="E169" t="str">
        <f>"ED08B054"</f>
        <v>ED08B054</v>
      </c>
    </row>
    <row r="170" spans="1:5" x14ac:dyDescent="0.25">
      <c r="A170" t="str">
        <f>"298794"</f>
        <v>298794</v>
      </c>
      <c r="B170" t="str">
        <f>"81983772009"</f>
        <v>81983772009</v>
      </c>
      <c r="C170" t="str">
        <f>"EVERYDAY COUNTER-GET WELL FOR ANYONE-J9912"</f>
        <v>EVERYDAY COUNTER-GET WELL FOR ANYONE-J9912</v>
      </c>
      <c r="D170" t="str">
        <f>"J9912"</f>
        <v>J9912</v>
      </c>
      <c r="E170" t="str">
        <f>"ED08B055"</f>
        <v>ED08B055</v>
      </c>
    </row>
    <row r="171" spans="1:5" x14ac:dyDescent="0.25">
      <c r="A171" t="str">
        <f>"298735"</f>
        <v>298735</v>
      </c>
      <c r="B171" t="str">
        <f>"81983774430"</f>
        <v>81983774430</v>
      </c>
      <c r="C171" t="str">
        <f>"EVERYDAY COUNTER-SYM-FOR ANYONE-11706"</f>
        <v>EVERYDAY COUNTER-SYM-FOR ANYONE-11706</v>
      </c>
      <c r="D171" t="str">
        <f>"11706"</f>
        <v>11706</v>
      </c>
      <c r="E171" t="str">
        <f>"ED08B056"</f>
        <v>ED08B056</v>
      </c>
    </row>
    <row r="172" spans="1:5" x14ac:dyDescent="0.25">
      <c r="A172" t="str">
        <f>"298770"</f>
        <v>298770</v>
      </c>
      <c r="B172" t="str">
        <f>"81983594052"</f>
        <v>81983594052</v>
      </c>
      <c r="C172" t="str">
        <f>"EVERYDAY COUNTER-ANN-FOR ANYONE PKG/6-12033"</f>
        <v>EVERYDAY COUNTER-ANN-FOR ANYONE PKG/6-12033</v>
      </c>
      <c r="D172" t="str">
        <f>"12033"</f>
        <v>12033</v>
      </c>
      <c r="E172" t="str">
        <f>"ED08B057"</f>
        <v>ED08B057</v>
      </c>
    </row>
    <row r="173" spans="1:5" x14ac:dyDescent="0.25">
      <c r="A173" t="str">
        <f>"279643"</f>
        <v>279643</v>
      </c>
      <c r="B173" t="str">
        <f>"81983774690"</f>
        <v>81983774690</v>
      </c>
      <c r="C173" t="str">
        <f>"EVERYDAY COUNTER-THANK YOU PKG/6-J8230"</f>
        <v>EVERYDAY COUNTER-THANK YOU PKG/6-J8230</v>
      </c>
      <c r="D173" t="str">
        <f>"J8230"</f>
        <v>J8230</v>
      </c>
      <c r="E173" t="str">
        <f>"ED08B058"</f>
        <v>ED08B058</v>
      </c>
    </row>
    <row r="174" spans="1:5" x14ac:dyDescent="0.25">
      <c r="A174" t="str">
        <f>"308151"</f>
        <v>308151</v>
      </c>
      <c r="B174" t="str">
        <f>"81983573293"</f>
        <v>81983573293</v>
      </c>
      <c r="C174" t="str">
        <f>"EVERYDAY COUNTER-THANK YOU - FOR ANYONE-83828"</f>
        <v>EVERYDAY COUNTER-THANK YOU - FOR ANYONE-83828</v>
      </c>
      <c r="D174" t="str">
        <f>"83828"</f>
        <v>83828</v>
      </c>
      <c r="E174" t="str">
        <f>"ED08B059"</f>
        <v>ED08B059</v>
      </c>
    </row>
    <row r="175" spans="1:5" x14ac:dyDescent="0.25">
      <c r="A175" t="str">
        <f>"308262"</f>
        <v>308262</v>
      </c>
      <c r="B175" t="str">
        <f>"81983679094"</f>
        <v>81983679094</v>
      </c>
      <c r="C175" t="str">
        <f>"EVERYDAY COUNTER-BABY DEDICATION - GN PKG/6-92299"</f>
        <v>EVERYDAY COUNTER-BABY DEDICATION - GN PKG/6-92299</v>
      </c>
      <c r="D175" t="str">
        <f>"92299"</f>
        <v>92299</v>
      </c>
      <c r="E175" t="str">
        <f>"ED08B060"</f>
        <v>ED08B060</v>
      </c>
    </row>
    <row r="176" spans="1:5" x14ac:dyDescent="0.25">
      <c r="A176" t="str">
        <f>"307996"</f>
        <v>307996</v>
      </c>
      <c r="B176" t="str">
        <f>"81983618956"</f>
        <v>81983618956</v>
      </c>
      <c r="C176" t="str">
        <f>"EVERYDAY COUNTER-ENC-I CAN RELATE-55900"</f>
        <v>EVERYDAY COUNTER-ENC-I CAN RELATE-55900</v>
      </c>
      <c r="D176" t="str">
        <f>"55900"</f>
        <v>55900</v>
      </c>
      <c r="E176" t="str">
        <f>"ED08B061"</f>
        <v>ED08B061</v>
      </c>
    </row>
    <row r="177" spans="1:5" x14ac:dyDescent="0.25">
      <c r="A177" t="str">
        <f>"279590"</f>
        <v>279590</v>
      </c>
      <c r="B177" t="str">
        <f>"81983757419"</f>
        <v>81983757419</v>
      </c>
      <c r="C177" t="str">
        <f>"EVERYDAY COUNTER-ENCOURAGEMENT - SMILE PKG/6-J8189"</f>
        <v>EVERYDAY COUNTER-ENCOURAGEMENT - SMILE PKG/6-J8189</v>
      </c>
      <c r="D177" t="str">
        <f>"J8189"</f>
        <v>J8189</v>
      </c>
      <c r="E177" t="str">
        <f>"ED08B062"</f>
        <v>ED08B062</v>
      </c>
    </row>
    <row r="178" spans="1:5" x14ac:dyDescent="0.25">
      <c r="A178" t="str">
        <f>"345244"</f>
        <v>345244</v>
      </c>
      <c r="B178" t="str">
        <f>"81983793677"</f>
        <v>81983793677</v>
      </c>
      <c r="C178" t="str">
        <f>"EVERYDAY COUNTER-GET WELL PKG/6-U2583"</f>
        <v>EVERYDAY COUNTER-GET WELL PKG/6-U2583</v>
      </c>
      <c r="D178" t="str">
        <f>"U2583"</f>
        <v>U2583</v>
      </c>
      <c r="E178" t="str">
        <f>"ED08B063"</f>
        <v>ED08B063</v>
      </c>
    </row>
    <row r="179" spans="1:5" x14ac:dyDescent="0.25">
      <c r="A179" t="str">
        <f>"308072"</f>
        <v>308072</v>
      </c>
      <c r="B179" t="str">
        <f>"81983774454"</f>
        <v>81983774454</v>
      </c>
      <c r="C179" t="str">
        <f>"EVERYDAY COUNTER-SYMPATHY-72852"</f>
        <v>EVERYDAY COUNTER-SYMPATHY-72852</v>
      </c>
      <c r="D179" t="str">
        <f>"72852"</f>
        <v>72852</v>
      </c>
      <c r="E179" t="str">
        <f>"ED08B064"</f>
        <v>ED08B064</v>
      </c>
    </row>
    <row r="180" spans="1:5" x14ac:dyDescent="0.25">
      <c r="A180" t="str">
        <f>"279575"</f>
        <v>279575</v>
      </c>
      <c r="B180" t="str">
        <f>"81983757280"</f>
        <v>81983757280</v>
      </c>
      <c r="C180" t="str">
        <f>"EVERYDAY COUNTER-BABY CONGRATS PKG/6-J8176"</f>
        <v>EVERYDAY COUNTER-BABY CONGRATS PKG/6-J8176</v>
      </c>
      <c r="D180" t="str">
        <f>"J8176"</f>
        <v>J8176</v>
      </c>
      <c r="E180" t="str">
        <f>"ED08B065"</f>
        <v>ED08B065</v>
      </c>
    </row>
    <row r="181" spans="1:5" x14ac:dyDescent="0.25">
      <c r="A181" t="str">
        <f>"298702"</f>
        <v>298702</v>
      </c>
      <c r="B181" t="str">
        <f>"81983652417"</f>
        <v>81983652417</v>
      </c>
      <c r="C181" t="str">
        <f>"EVERYDAY COUNTER-THANK YOU CLERGY PKG/6-10280"</f>
        <v>EVERYDAY COUNTER-THANK YOU CLERGY PKG/6-10280</v>
      </c>
      <c r="D181" t="str">
        <f>"10280"</f>
        <v>10280</v>
      </c>
      <c r="E181" t="str">
        <f>"ED08B066"</f>
        <v>ED08B066</v>
      </c>
    </row>
    <row r="182" spans="1:5" x14ac:dyDescent="0.25">
      <c r="A182" t="str">
        <f>"307948"</f>
        <v>307948</v>
      </c>
      <c r="B182" t="str">
        <f>"81983584633"</f>
        <v>81983584633</v>
      </c>
      <c r="C182" t="str">
        <f>"EVERYDAY COUNTER-THANK YOU-47934"</f>
        <v>EVERYDAY COUNTER-THANK YOU-47934</v>
      </c>
      <c r="D182" t="str">
        <f>"47934"</f>
        <v>47934</v>
      </c>
      <c r="E182" t="str">
        <f>"ED08B067"</f>
        <v>ED08B067</v>
      </c>
    </row>
    <row r="183" spans="1:5" x14ac:dyDescent="0.25">
      <c r="A183" t="str">
        <f>"307943"</f>
        <v>307943</v>
      </c>
      <c r="B183" t="str">
        <f>"81983772085"</f>
        <v>81983772085</v>
      </c>
      <c r="C183" t="str">
        <f>"EVERYDAY COUNTER-BABY SPECIAL DAY-J9920"</f>
        <v>EVERYDAY COUNTER-BABY SPECIAL DAY-J9920</v>
      </c>
      <c r="D183" t="str">
        <f>"J9920"</f>
        <v>J9920</v>
      </c>
      <c r="E183" t="str">
        <f>"ED08B068"</f>
        <v>ED08B068</v>
      </c>
    </row>
    <row r="184" spans="1:5" x14ac:dyDescent="0.25">
      <c r="A184" t="str">
        <f>"298782"</f>
        <v>298782</v>
      </c>
      <c r="B184" t="str">
        <f>"81983771927"</f>
        <v>81983771927</v>
      </c>
      <c r="C184" t="str">
        <f>"EVERYDAY COUNTER-IN THIS TOGETHER-J9904"</f>
        <v>EVERYDAY COUNTER-IN THIS TOGETHER-J9904</v>
      </c>
      <c r="D184" t="str">
        <f>"J9904"</f>
        <v>J9904</v>
      </c>
      <c r="E184" t="str">
        <f>"ED08B069"</f>
        <v>ED08B069</v>
      </c>
    </row>
    <row r="185" spans="1:5" x14ac:dyDescent="0.25">
      <c r="A185" t="str">
        <f>"345251"</f>
        <v>345251</v>
      </c>
      <c r="B185" t="str">
        <f>"81983793721"</f>
        <v>81983793721</v>
      </c>
      <c r="C185" t="str">
        <f>"EVERYDAY COUNTER-PRAYING FOR YOU PKG/6-U2588"</f>
        <v>EVERYDAY COUNTER-PRAYING FOR YOU PKG/6-U2588</v>
      </c>
      <c r="D185" t="str">
        <f>"U2588"</f>
        <v>U2588</v>
      </c>
      <c r="E185" t="str">
        <f>"ED08B070"</f>
        <v>ED08B070</v>
      </c>
    </row>
    <row r="186" spans="1:5" x14ac:dyDescent="0.25">
      <c r="A186" t="str">
        <f>"307893"</f>
        <v>307893</v>
      </c>
      <c r="B186" t="str">
        <f>"81983678462"</f>
        <v>81983678462</v>
      </c>
      <c r="C186" t="str">
        <f>"EVERYDAY COUNTER-GET WELL ANYONE-44125"</f>
        <v>EVERYDAY COUNTER-GET WELL ANYONE-44125</v>
      </c>
      <c r="D186" t="str">
        <f>"44125"</f>
        <v>44125</v>
      </c>
      <c r="E186" t="str">
        <f>"ED08B071"</f>
        <v>ED08B071</v>
      </c>
    </row>
    <row r="187" spans="1:5" x14ac:dyDescent="0.25">
      <c r="A187" t="str">
        <f>"298806"</f>
        <v>298806</v>
      </c>
      <c r="B187" t="str">
        <f>"81983678417"</f>
        <v>81983678417</v>
      </c>
      <c r="C187" t="str">
        <f>"EVERYDAY COUNTER-SYMPATHY-43976"</f>
        <v>EVERYDAY COUNTER-SYMPATHY-43976</v>
      </c>
      <c r="D187" t="str">
        <f>"43976"</f>
        <v>43976</v>
      </c>
      <c r="E187" t="str">
        <f>"ED08B072"</f>
        <v>ED08B072</v>
      </c>
    </row>
    <row r="188" spans="1:5" x14ac:dyDescent="0.25">
      <c r="A188" t="str">
        <f>"298760"</f>
        <v>298760</v>
      </c>
      <c r="B188" t="str">
        <f>"81983771750"</f>
        <v>81983771750</v>
      </c>
      <c r="C188" t="str">
        <f>"EVERYDAY COUNTER-BABY CONGRATS-GIRL PKG/6-J9887"</f>
        <v>EVERYDAY COUNTER-BABY CONGRATS-GIRL PKG/6-J9887</v>
      </c>
      <c r="D188" t="str">
        <f>"J9887"</f>
        <v>J9887</v>
      </c>
      <c r="E188" t="str">
        <f>"ED08B073"</f>
        <v>ED08B073</v>
      </c>
    </row>
    <row r="189" spans="1:5" x14ac:dyDescent="0.25">
      <c r="A189" t="str">
        <f>"279635"</f>
        <v>279635</v>
      </c>
      <c r="B189" t="str">
        <f>"81983757761"</f>
        <v>81983757761</v>
      </c>
      <c r="C189" t="str">
        <f>"EVERYDAY COUNTER-THANK YOU CLERGY PKG/6-J8224"</f>
        <v>EVERYDAY COUNTER-THANK YOU CLERGY PKG/6-J8224</v>
      </c>
      <c r="D189" t="str">
        <f>"J8224"</f>
        <v>J8224</v>
      </c>
      <c r="E189" t="str">
        <f>"ED08B074"</f>
        <v>ED08B074</v>
      </c>
    </row>
    <row r="190" spans="1:5" x14ac:dyDescent="0.25">
      <c r="A190" t="str">
        <f>"279644"</f>
        <v>279644</v>
      </c>
      <c r="B190" t="str">
        <f>"81983757839"</f>
        <v>81983757839</v>
      </c>
      <c r="C190" t="str">
        <f>"EVERYDAY COUNTER-THANK YOU MINISTRY APPRECIATIO PKG/6-J8231"</f>
        <v>EVERYDAY COUNTER-THANK YOU MINISTRY APPRECIATIO PKG/6-J8231</v>
      </c>
      <c r="D190" t="str">
        <f>"J8231"</f>
        <v>J8231</v>
      </c>
      <c r="E190" t="str">
        <f>"ED08B075"</f>
        <v>ED08B075</v>
      </c>
    </row>
    <row r="191" spans="1:5" x14ac:dyDescent="0.25">
      <c r="A191" t="str">
        <f>"279615"</f>
        <v>279615</v>
      </c>
      <c r="B191" t="str">
        <f>"81983757600"</f>
        <v>81983757600</v>
      </c>
      <c r="C191" t="str">
        <f>"EVERYDAY COUNTER-SPIRITUAL OCC WOMEN IN MINISTR PKG/6-J8208"</f>
        <v>EVERYDAY COUNTER-SPIRITUAL OCC WOMEN IN MINISTR PKG/6-J8208</v>
      </c>
      <c r="D191" t="str">
        <f>"J8208"</f>
        <v>J8208</v>
      </c>
      <c r="E191" t="str">
        <f>"ED08B076"</f>
        <v>ED08B076</v>
      </c>
    </row>
    <row r="192" spans="1:5" x14ac:dyDescent="0.25">
      <c r="A192" t="str">
        <f>"279583"</f>
        <v>279583</v>
      </c>
      <c r="B192" t="str">
        <f>"81983757358"</f>
        <v>81983757358</v>
      </c>
      <c r="C192" t="str">
        <f>"EVERYDAY COUNTER-ENCOURAGEMENT - DIFFICULT TIME PKG/6-J8183"</f>
        <v>EVERYDAY COUNTER-ENCOURAGEMENT - DIFFICULT TIME PKG/6-J8183</v>
      </c>
      <c r="D192" t="str">
        <f>"J8183"</f>
        <v>J8183</v>
      </c>
      <c r="E192" t="str">
        <f>"ED08B077"</f>
        <v>ED08B077</v>
      </c>
    </row>
    <row r="193" spans="1:5" x14ac:dyDescent="0.25">
      <c r="A193" t="str">
        <f>"345250"</f>
        <v>345250</v>
      </c>
      <c r="B193" t="str">
        <f>"81983793714"</f>
        <v>81983793714</v>
      </c>
      <c r="C193" t="str">
        <f>"EVERYDAY COUNTER-PRAYING FOR YOU PKG/6-U2587"</f>
        <v>EVERYDAY COUNTER-PRAYING FOR YOU PKG/6-U2587</v>
      </c>
      <c r="D193" t="str">
        <f>"U2587"</f>
        <v>U2587</v>
      </c>
      <c r="E193" t="str">
        <f>"ED08B078"</f>
        <v>ED08B078</v>
      </c>
    </row>
    <row r="194" spans="1:5" x14ac:dyDescent="0.25">
      <c r="A194" t="str">
        <f>"345247"</f>
        <v>345247</v>
      </c>
      <c r="B194" t="str">
        <f>"81983793684"</f>
        <v>81983793684</v>
      </c>
      <c r="C194" t="str">
        <f>"EVERYDAY COUNTER-GET WELL PKG/6-U2584"</f>
        <v>EVERYDAY COUNTER-GET WELL PKG/6-U2584</v>
      </c>
      <c r="D194" t="str">
        <f>"U2584"</f>
        <v>U2584</v>
      </c>
      <c r="E194" t="str">
        <f>"ED08B079"</f>
        <v>ED08B079</v>
      </c>
    </row>
    <row r="195" spans="1:5" x14ac:dyDescent="0.25">
      <c r="A195" t="str">
        <f>"298810"</f>
        <v>298810</v>
      </c>
      <c r="B195" t="str">
        <f>"81983678424"</f>
        <v>81983678424</v>
      </c>
      <c r="C195" t="str">
        <f>"EVERYDAY COUNTER-SYMPATHY-43984"</f>
        <v>EVERYDAY COUNTER-SYMPATHY-43984</v>
      </c>
      <c r="D195" t="str">
        <f>"43984"</f>
        <v>43984</v>
      </c>
      <c r="E195" t="str">
        <f>"ED08B080"</f>
        <v>ED08B080</v>
      </c>
    </row>
    <row r="196" spans="1:5" x14ac:dyDescent="0.25">
      <c r="A196" t="str">
        <f>"298771"</f>
        <v>298771</v>
      </c>
      <c r="B196" t="str">
        <f>"81983771743"</f>
        <v>81983771743</v>
      </c>
      <c r="C196" t="str">
        <f>"EVERYDAY COUNTER-BABY CONGRATS-BOY PKG/6-J9886"</f>
        <v>EVERYDAY COUNTER-BABY CONGRATS-BOY PKG/6-J9886</v>
      </c>
      <c r="D196" t="str">
        <f>"J9886"</f>
        <v>J9886</v>
      </c>
      <c r="E196" t="str">
        <f>"ED08B081"</f>
        <v>ED08B081</v>
      </c>
    </row>
    <row r="197" spans="1:5" x14ac:dyDescent="0.25">
      <c r="A197" t="str">
        <f>"308477"</f>
        <v>308477</v>
      </c>
      <c r="B197" t="str">
        <f>"81983722158"</f>
        <v>81983722158</v>
      </c>
      <c r="C197" t="str">
        <f>"EVERYDAY COUNTER-MINISTRY APPRECIATION/WITH APPRECIATION FOR YOUR MINISTRY PKG/6-J3467"</f>
        <v>EVERYDAY COUNTER-MINISTRY APPRECIATION/WITH APPRECIATION FOR YOUR MINISTRY PKG/6-J3467</v>
      </c>
      <c r="D197" t="str">
        <f>"J3467"</f>
        <v>J3467</v>
      </c>
      <c r="E197" t="str">
        <f>"ED08B082"</f>
        <v>ED08B082</v>
      </c>
    </row>
    <row r="198" spans="1:5" x14ac:dyDescent="0.25">
      <c r="A198" t="str">
        <f>"308091"</f>
        <v>308091</v>
      </c>
      <c r="B198" t="str">
        <f>"81983772122"</f>
        <v>81983772122</v>
      </c>
      <c r="C198" t="str">
        <f>"EVERYDAY COUNTER-CHURCH FAMILY WELCOME-J9924"</f>
        <v>EVERYDAY COUNTER-CHURCH FAMILY WELCOME-J9924</v>
      </c>
      <c r="D198" t="str">
        <f>"J9924"</f>
        <v>J9924</v>
      </c>
      <c r="E198" t="str">
        <f>"ED08B083"</f>
        <v>ED08B083</v>
      </c>
    </row>
    <row r="199" spans="1:5" x14ac:dyDescent="0.25">
      <c r="A199" t="str">
        <f>"307946"</f>
        <v>307946</v>
      </c>
      <c r="B199" t="str">
        <f>"81983772146"</f>
        <v>81983772146</v>
      </c>
      <c r="C199" t="str">
        <f>"EVERYDAY COUNTER-ORDINATION-J9926"</f>
        <v>EVERYDAY COUNTER-ORDINATION-J9926</v>
      </c>
      <c r="D199" t="str">
        <f>"J9926"</f>
        <v>J9926</v>
      </c>
      <c r="E199" t="str">
        <f>"ED08B084"</f>
        <v>ED08B084</v>
      </c>
    </row>
    <row r="200" spans="1:5" x14ac:dyDescent="0.25">
      <c r="A200" t="str">
        <f>"308443"</f>
        <v>308443</v>
      </c>
      <c r="B200" t="str">
        <f>"81983721755"</f>
        <v>81983721755</v>
      </c>
      <c r="C200" t="str">
        <f>"EVERYDAY COUNTER-DIFFICULT TIME/NOTHING ABOUT WHAT YOU'RE GOING THROUGH PKG/6-J3427"</f>
        <v>EVERYDAY COUNTER-DIFFICULT TIME/NOTHING ABOUT WHAT YOU'RE GOING THROUGH PKG/6-J3427</v>
      </c>
      <c r="D200" t="str">
        <f>"J3427"</f>
        <v>J3427</v>
      </c>
      <c r="E200" t="str">
        <f>"ED08B085"</f>
        <v>ED08B085</v>
      </c>
    </row>
    <row r="201" spans="1:5" x14ac:dyDescent="0.25">
      <c r="A201" t="str">
        <f>"279600"</f>
        <v>279600</v>
      </c>
      <c r="B201" t="str">
        <f>"81983757495"</f>
        <v>81983757495</v>
      </c>
      <c r="C201" t="str">
        <f>"EVERYDAY COUNTER-PRAYING FOR YOU PKG/6-J8197"</f>
        <v>EVERYDAY COUNTER-PRAYING FOR YOU PKG/6-J8197</v>
      </c>
      <c r="D201" t="str">
        <f>"J8197"</f>
        <v>J8197</v>
      </c>
      <c r="E201" t="str">
        <f>"ED08B086"</f>
        <v>ED08B086</v>
      </c>
    </row>
    <row r="202" spans="1:5" x14ac:dyDescent="0.25">
      <c r="A202" t="str">
        <f>"308066"</f>
        <v>308066</v>
      </c>
      <c r="B202" t="str">
        <f>"81983773495"</f>
        <v>81983773495</v>
      </c>
      <c r="C202" t="str">
        <f>"EVERYDAY COUNTER-GET WELL-72816"</f>
        <v>EVERYDAY COUNTER-GET WELL-72816</v>
      </c>
      <c r="D202" t="str">
        <f>"72816"</f>
        <v>72816</v>
      </c>
      <c r="E202" t="str">
        <f>"ED08B087"</f>
        <v>ED08B087</v>
      </c>
    </row>
    <row r="203" spans="1:5" x14ac:dyDescent="0.25">
      <c r="A203" t="str">
        <f>"298733"</f>
        <v>298733</v>
      </c>
      <c r="B203" t="str">
        <f>"81983774423"</f>
        <v>81983774423</v>
      </c>
      <c r="C203" t="str">
        <f>"EVERYDAY COUNTER-SYM-FOR ANYONE (PACK OF 6)"</f>
        <v>EVERYDAY COUNTER-SYM-FOR ANYONE (PACK OF 6)</v>
      </c>
      <c r="D203" t="str">
        <f>"11701"</f>
        <v>11701</v>
      </c>
      <c r="E203" t="str">
        <f>"ED08B088"</f>
        <v>ED08B088</v>
      </c>
    </row>
    <row r="204" spans="1:5" x14ac:dyDescent="0.25">
      <c r="A204" t="str">
        <f>"345238"</f>
        <v>345238</v>
      </c>
      <c r="B204" t="str">
        <f>"81983793615"</f>
        <v>81983793615</v>
      </c>
      <c r="C204" t="str">
        <f>"EVERYDAY COUNTER-CONGRATULATIONS PKG/6-U2577"</f>
        <v>EVERYDAY COUNTER-CONGRATULATIONS PKG/6-U2577</v>
      </c>
      <c r="D204" t="str">
        <f>"U2577"</f>
        <v>U2577</v>
      </c>
      <c r="E204" t="str">
        <f>"ED08B089"</f>
        <v>ED08B089</v>
      </c>
    </row>
    <row r="205" spans="1:5" x14ac:dyDescent="0.25">
      <c r="A205" t="str">
        <f>"308002"</f>
        <v>308002</v>
      </c>
      <c r="B205" t="str">
        <f>"81983772078"</f>
        <v>81983772078</v>
      </c>
      <c r="C205" t="str">
        <f>"EVERYDAY COUNTER-SPECIAL OCCASION-RETIREMENT-J9919"</f>
        <v>EVERYDAY COUNTER-SPECIAL OCCASION-RETIREMENT-J9919</v>
      </c>
      <c r="D205" t="str">
        <f>"J9919"</f>
        <v>J9919</v>
      </c>
      <c r="E205" t="str">
        <f>"ED08B090"</f>
        <v>ED08B090</v>
      </c>
    </row>
    <row r="206" spans="1:5" x14ac:dyDescent="0.25">
      <c r="A206" t="str">
        <f>"345254"</f>
        <v>345254</v>
      </c>
      <c r="B206" t="str">
        <f>"81983793752"</f>
        <v>81983793752</v>
      </c>
      <c r="C206" t="str">
        <f>"EVERYDAY COUNTER-RETIREMENT/MASCULINE PKG/6"</f>
        <v>EVERYDAY COUNTER-RETIREMENT/MASCULINE PKG/6</v>
      </c>
      <c r="D206" t="str">
        <f>"U2591"</f>
        <v>U2591</v>
      </c>
      <c r="E206" t="str">
        <f>"ED08B091"</f>
        <v>ED08B091</v>
      </c>
    </row>
    <row r="207" spans="1:5" x14ac:dyDescent="0.25">
      <c r="A207" t="str">
        <f>"307986"</f>
        <v>307986</v>
      </c>
      <c r="B207" t="str">
        <f>"81983771934"</f>
        <v>81983771934</v>
      </c>
      <c r="C207" t="str">
        <f>"EVERYDAY COUNTER-ENC-YOU MAKE A DIFFERENCE-J9905"</f>
        <v>EVERYDAY COUNTER-ENC-YOU MAKE A DIFFERENCE-J9905</v>
      </c>
      <c r="D207" t="str">
        <f>"J9905"</f>
        <v>J9905</v>
      </c>
      <c r="E207" t="str">
        <f>"ED08B092"</f>
        <v>ED08B092</v>
      </c>
    </row>
    <row r="208" spans="1:5" x14ac:dyDescent="0.25">
      <c r="A208" t="str">
        <f>"307907"</f>
        <v>307907</v>
      </c>
      <c r="B208" t="str">
        <f>"81983612626"</f>
        <v>81983612626</v>
      </c>
      <c r="C208" t="str">
        <f>"EVERYDAY COUNTER-ENCOURAGEMENT - DIFFICULT RELATION SHIP-44163"</f>
        <v>EVERYDAY COUNTER-ENCOURAGEMENT - DIFFICULT RELATION SHIP-44163</v>
      </c>
      <c r="D208" t="str">
        <f>"44163"</f>
        <v>44163</v>
      </c>
      <c r="E208" t="str">
        <f>"ED08B093"</f>
        <v>ED08B093</v>
      </c>
    </row>
    <row r="209" spans="1:5" x14ac:dyDescent="0.25">
      <c r="A209" t="str">
        <f>"345249"</f>
        <v>345249</v>
      </c>
      <c r="B209" t="str">
        <f>"81983793707"</f>
        <v>81983793707</v>
      </c>
      <c r="C209" t="str">
        <f>"EVERYDAY COUNTER-PRAYING FOR YOU PKG/6-U2586"</f>
        <v>EVERYDAY COUNTER-PRAYING FOR YOU PKG/6-U2586</v>
      </c>
      <c r="D209" t="str">
        <f>"U2586"</f>
        <v>U2586</v>
      </c>
      <c r="E209" t="str">
        <f>"ED08B094"</f>
        <v>ED08B094</v>
      </c>
    </row>
    <row r="210" spans="1:5" x14ac:dyDescent="0.25">
      <c r="A210" t="str">
        <f>"308258"</f>
        <v>308258</v>
      </c>
      <c r="B210" t="str">
        <f>"81983679063"</f>
        <v>81983679063</v>
      </c>
      <c r="C210" t="str">
        <f>"EVERYDAY COUNTER-GET WELL PKG/6-92200"</f>
        <v>EVERYDAY COUNTER-GET WELL PKG/6-92200</v>
      </c>
      <c r="D210" t="str">
        <f>"92200"</f>
        <v>92200</v>
      </c>
      <c r="E210" t="str">
        <f>"ED08B095"</f>
        <v>ED08B095</v>
      </c>
    </row>
    <row r="211" spans="1:5" x14ac:dyDescent="0.25">
      <c r="A211" t="str">
        <f>"345262"</f>
        <v>345262</v>
      </c>
      <c r="B211" t="str">
        <f>"81983793813"</f>
        <v>81983793813</v>
      </c>
      <c r="C211" t="str">
        <f>"EVERYDAY COUNTER-SYMPATHY PKG/6-U2597"</f>
        <v>EVERYDAY COUNTER-SYMPATHY PKG/6-U2597</v>
      </c>
      <c r="D211" t="str">
        <f>"U2597"</f>
        <v>U2597</v>
      </c>
      <c r="E211" t="str">
        <f>"ED08B096"</f>
        <v>ED08B096</v>
      </c>
    </row>
    <row r="212" spans="1:5" x14ac:dyDescent="0.25">
      <c r="A212" t="str">
        <f>"308211"</f>
        <v>308211</v>
      </c>
      <c r="B212" t="str">
        <f>"81983773327"</f>
        <v>81983773327</v>
      </c>
      <c r="C212" t="str">
        <f>"EVERYDAY COUNTER-CONGRATS FOR ANYONE PKG/6-91990"</f>
        <v>EVERYDAY COUNTER-CONGRATS FOR ANYONE PKG/6-91990</v>
      </c>
      <c r="D212" t="str">
        <f>"91990"</f>
        <v>91990</v>
      </c>
      <c r="E212" t="str">
        <f>"ED08B097"</f>
        <v>ED08B097</v>
      </c>
    </row>
    <row r="213" spans="1:5" x14ac:dyDescent="0.25">
      <c r="A213" t="str">
        <f>"298718"</f>
        <v>298718</v>
      </c>
      <c r="B213" t="str">
        <f>"81983771798"</f>
        <v>81983771798</v>
      </c>
      <c r="C213" t="str">
        <f>"EVERYDAY COUNTER-CONGRATS-FOR ANYONE-J9891"</f>
        <v>EVERYDAY COUNTER-CONGRATS-FOR ANYONE-J9891</v>
      </c>
      <c r="D213" t="str">
        <f>"J9891"</f>
        <v>J9891</v>
      </c>
      <c r="E213" t="str">
        <f>"ED08B098"</f>
        <v>ED08B098</v>
      </c>
    </row>
    <row r="214" spans="1:5" x14ac:dyDescent="0.25">
      <c r="A214" t="str">
        <f>"345253"</f>
        <v>345253</v>
      </c>
      <c r="B214" t="str">
        <f>"81983793745"</f>
        <v>81983793745</v>
      </c>
      <c r="C214" t="str">
        <f>"EVERYDAY COUNTER-HOUSEWARMING PKG/6"</f>
        <v>EVERYDAY COUNTER-HOUSEWARMING PKG/6</v>
      </c>
      <c r="D214" t="str">
        <f>"U2590"</f>
        <v>U2590</v>
      </c>
      <c r="E214" t="str">
        <f>"ED08B099"</f>
        <v>ED08B099</v>
      </c>
    </row>
    <row r="215" spans="1:5" x14ac:dyDescent="0.25">
      <c r="A215" t="str">
        <f>"308088"</f>
        <v>308088</v>
      </c>
      <c r="B215" t="str">
        <f>"81983772054"</f>
        <v>81983772054</v>
      </c>
      <c r="C215" t="str">
        <f>"EVERYDAY COUNTER-AS YOU MOVE PKG/6-J9917"</f>
        <v>EVERYDAY COUNTER-AS YOU MOVE PKG/6-J9917</v>
      </c>
      <c r="D215" t="str">
        <f>"J9917"</f>
        <v>J9917</v>
      </c>
      <c r="E215" t="str">
        <f>"ED08B100"</f>
        <v>ED08B100</v>
      </c>
    </row>
    <row r="216" spans="1:5" x14ac:dyDescent="0.25">
      <c r="A216" t="str">
        <f>"307902"</f>
        <v>307902</v>
      </c>
      <c r="B216" t="str">
        <f>"81983771941"</f>
        <v>81983771941</v>
      </c>
      <c r="C216" t="str">
        <f>"EVERYDAY COUNTER-ENC-MAKE A DIFF-J9906"</f>
        <v>EVERYDAY COUNTER-ENC-MAKE A DIFF-J9906</v>
      </c>
      <c r="D216" t="str">
        <f>"J9906"</f>
        <v>J9906</v>
      </c>
      <c r="E216" t="str">
        <f>"ED08B101"</f>
        <v>ED08B101</v>
      </c>
    </row>
    <row r="217" spans="1:5" x14ac:dyDescent="0.25">
      <c r="A217" t="str">
        <f>"279584"</f>
        <v>279584</v>
      </c>
      <c r="B217" t="str">
        <f>"81983757365"</f>
        <v>81983757365</v>
      </c>
      <c r="C217" t="str">
        <f>"EVERYDAY COUNTER-ENCOURAGEMENT - DIVORCE PKG/6-J8184"</f>
        <v>EVERYDAY COUNTER-ENCOURAGEMENT - DIVORCE PKG/6-J8184</v>
      </c>
      <c r="D217" t="str">
        <f>"J8184"</f>
        <v>J8184</v>
      </c>
      <c r="E217" t="str">
        <f>"ED08B102"</f>
        <v>ED08B102</v>
      </c>
    </row>
    <row r="218" spans="1:5" x14ac:dyDescent="0.25">
      <c r="A218" t="str">
        <f>"345252"</f>
        <v>345252</v>
      </c>
      <c r="B218" t="str">
        <f>"81983793738"</f>
        <v>81983793738</v>
      </c>
      <c r="C218" t="str">
        <f>"EVERYDAY COUNTER-PRAYING FOR YOU/MILITARY PKG/6"</f>
        <v>EVERYDAY COUNTER-PRAYING FOR YOU/MILITARY PKG/6</v>
      </c>
      <c r="D218" t="str">
        <f>"U2589"</f>
        <v>U2589</v>
      </c>
      <c r="E218" t="str">
        <f>"ED08B103"</f>
        <v>ED08B103</v>
      </c>
    </row>
    <row r="219" spans="1:5" x14ac:dyDescent="0.25">
      <c r="A219" t="str">
        <f>"308217"</f>
        <v>308217</v>
      </c>
      <c r="B219" t="str">
        <f>"81983677397"</f>
        <v>81983677397</v>
      </c>
      <c r="C219" t="str">
        <f>"EVERYDAY COUNTER-PRAYING FOR YOU PKG/6-91996"</f>
        <v>EVERYDAY COUNTER-PRAYING FOR YOU PKG/6-91996</v>
      </c>
      <c r="D219" t="str">
        <f>"91996"</f>
        <v>91996</v>
      </c>
      <c r="E219" t="str">
        <f>"ED08B104"</f>
        <v>ED08B104</v>
      </c>
    </row>
    <row r="220" spans="1:5" x14ac:dyDescent="0.25">
      <c r="A220" t="str">
        <f>"308080"</f>
        <v>308080</v>
      </c>
      <c r="B220" t="str">
        <f>"81983772153"</f>
        <v>81983772153</v>
      </c>
      <c r="C220" t="str">
        <f>"EVERYDAY COUNTER-SYMPATHY (PACK OF 6)-J9927"</f>
        <v>EVERYDAY COUNTER-SYMPATHY (PACK OF 6)-J9927</v>
      </c>
      <c r="D220" t="str">
        <f>"J9927"</f>
        <v>J9927</v>
      </c>
      <c r="E220" t="str">
        <f>"ED08B105"</f>
        <v>ED08B105</v>
      </c>
    </row>
    <row r="221" spans="1:5" x14ac:dyDescent="0.25">
      <c r="A221" t="str">
        <f>"308108"</f>
        <v>308108</v>
      </c>
      <c r="B221" t="str">
        <f>"81983771781"</f>
        <v>81983771781</v>
      </c>
      <c r="C221" t="str">
        <f>"EVERYDAY COUNTER-CONGRATS-J9890"</f>
        <v>EVERYDAY COUNTER-CONGRATS-J9890</v>
      </c>
      <c r="D221" t="str">
        <f>"J9890"</f>
        <v>J9890</v>
      </c>
      <c r="E221" t="str">
        <f>"ED08B106"</f>
        <v>ED08B106</v>
      </c>
    </row>
    <row r="222" spans="1:5" x14ac:dyDescent="0.25">
      <c r="A222" t="str">
        <f>"308439"</f>
        <v>308439</v>
      </c>
      <c r="B222" t="str">
        <f>"81983721700"</f>
        <v>81983721700</v>
      </c>
      <c r="C222" t="str">
        <f>"EVERYDAY COUNTER-CONGRATS - GIFT CARD HOLDER/SPECIAL OCCASIONS AND PEOPLE PKG/6-J3422"</f>
        <v>EVERYDAY COUNTER-CONGRATS - GIFT CARD HOLDER/SPECIAL OCCASIONS AND PEOPLE PKG/6-J3422</v>
      </c>
      <c r="D222" t="str">
        <f>"J3422"</f>
        <v>J3422</v>
      </c>
      <c r="E222" t="str">
        <f>"ED08B107"</f>
        <v>ED08B107</v>
      </c>
    </row>
    <row r="223" spans="1:5" x14ac:dyDescent="0.25">
      <c r="A223" t="str">
        <f>"308084"</f>
        <v>308084</v>
      </c>
      <c r="B223" t="str">
        <f>"81983771804"</f>
        <v>81983771804</v>
      </c>
      <c r="C223" t="str">
        <f>"EVERYDAY COUNTER-CONGRATS GRADUATE-J9892"</f>
        <v>EVERYDAY COUNTER-CONGRATS GRADUATE-J9892</v>
      </c>
      <c r="D223" t="str">
        <f>"J9892"</f>
        <v>J9892</v>
      </c>
      <c r="E223" t="str">
        <f>"ED08B108"</f>
        <v>ED08B108</v>
      </c>
    </row>
    <row r="224" spans="1:5" x14ac:dyDescent="0.25">
      <c r="A224" t="str">
        <f>"279581"</f>
        <v>279581</v>
      </c>
      <c r="B224" t="str">
        <f>"81983773372"</f>
        <v>81983773372</v>
      </c>
      <c r="C224" t="str">
        <f>"EVERYDAY COUNTER-ENCOURAGEMENT - CAREGIVER PKG/6-J8181"</f>
        <v>EVERYDAY COUNTER-ENCOURAGEMENT - CAREGIVER PKG/6-J8181</v>
      </c>
      <c r="D224" t="str">
        <f>"J8181"</f>
        <v>J8181</v>
      </c>
      <c r="E224" t="str">
        <f>"ED08B109"</f>
        <v>ED08B109</v>
      </c>
    </row>
    <row r="225" spans="1:5" x14ac:dyDescent="0.25">
      <c r="A225" t="str">
        <f>"279589"</f>
        <v>279589</v>
      </c>
      <c r="B225" t="str">
        <f>"81983757402"</f>
        <v>81983757402</v>
      </c>
      <c r="C225" t="str">
        <f>"EVERYDAY COUNTER-ENCOURAGEMENT - SERIOUS ILLNES PKG/6-J8188"</f>
        <v>EVERYDAY COUNTER-ENCOURAGEMENT - SERIOUS ILLNES PKG/6-J8188</v>
      </c>
      <c r="D225" t="str">
        <f>"J8188"</f>
        <v>J8188</v>
      </c>
      <c r="E225" t="str">
        <f>"ED08B110"</f>
        <v>ED08B110</v>
      </c>
    </row>
    <row r="226" spans="1:5" x14ac:dyDescent="0.25">
      <c r="A226" t="str">
        <f>"308019"</f>
        <v>308019</v>
      </c>
      <c r="B226" t="str">
        <f>"81983771859"</f>
        <v>81983771859</v>
      </c>
      <c r="C226" t="str">
        <f>"EVERYDAY COUNTER-DEPRESSION ENCOURAGEMENT-J9897"</f>
        <v>EVERYDAY COUNTER-DEPRESSION ENCOURAGEMENT-J9897</v>
      </c>
      <c r="D226" t="str">
        <f>"J9897"</f>
        <v>J9897</v>
      </c>
      <c r="E226" t="str">
        <f>"ED08B111"</f>
        <v>ED08B111</v>
      </c>
    </row>
    <row r="227" spans="1:5" x14ac:dyDescent="0.25">
      <c r="A227" t="str">
        <f>"401613"</f>
        <v>401613</v>
      </c>
      <c r="B227" t="str">
        <f>"81983772047"</f>
        <v>81983772047</v>
      </c>
      <c r="C227" t="str">
        <f>"EVERYDAY COUNTER-PRAYING FOR YOU-J9916"</f>
        <v>EVERYDAY COUNTER-PRAYING FOR YOU-J9916</v>
      </c>
      <c r="D227" t="str">
        <f>"J9916"</f>
        <v>J9916</v>
      </c>
      <c r="E227" t="str">
        <f>"ED08B112"</f>
        <v>ED08B112</v>
      </c>
    </row>
    <row r="228" spans="1:5" x14ac:dyDescent="0.25">
      <c r="A228" t="str">
        <f>"279599"</f>
        <v>279599</v>
      </c>
      <c r="B228" t="str">
        <f>"81983757488"</f>
        <v>81983757488</v>
      </c>
      <c r="C228" t="str">
        <f>"EVERYDAY COUNTER-PRAYING FOR YOU PKG/6-J8196"</f>
        <v>EVERYDAY COUNTER-PRAYING FOR YOU PKG/6-J8196</v>
      </c>
      <c r="D228" t="str">
        <f>"J8196"</f>
        <v>J8196</v>
      </c>
      <c r="E228" t="str">
        <f>"ED08B113"</f>
        <v>ED08B113</v>
      </c>
    </row>
    <row r="229" spans="1:5" x14ac:dyDescent="0.25">
      <c r="A229" t="str">
        <f>"345261"</f>
        <v>345261</v>
      </c>
      <c r="B229" t="str">
        <f>"81983793806"</f>
        <v>81983793806</v>
      </c>
      <c r="C229" t="str">
        <f>"EVERYDAY COUNTER-SYMPATHY PKG/6-U2596"</f>
        <v>EVERYDAY COUNTER-SYMPATHY PKG/6-U2596</v>
      </c>
      <c r="D229" t="str">
        <f>"U2596"</f>
        <v>U2596</v>
      </c>
      <c r="E229" t="str">
        <f>"ED08B114"</f>
        <v>ED08B114</v>
      </c>
    </row>
  </sheetData>
  <autoFilter ref="A1:E1" xr:uid="{3E689769-6A4B-41BF-BCC5-C8F239C823B2}">
    <sortState xmlns:xlrd2="http://schemas.microsoft.com/office/spreadsheetml/2017/richdata2" ref="A2:E229">
      <sortCondition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Pisarek</dc:creator>
  <cp:lastModifiedBy>Rachel Pisarek</cp:lastModifiedBy>
  <dcterms:created xsi:type="dcterms:W3CDTF">2024-07-25T17:01:41Z</dcterms:created>
  <dcterms:modified xsi:type="dcterms:W3CDTF">2024-07-25T17:08:49Z</dcterms:modified>
</cp:coreProperties>
</file>