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ord Alive\Dayspring\Everyday Counter Cards\"/>
    </mc:Choice>
  </mc:AlternateContent>
  <xr:revisionPtr revIDLastSave="0" documentId="8_{896E5736-E89F-4360-819F-86C1C9C379AA}" xr6:coauthVersionLast="47" xr6:coauthVersionMax="47" xr10:uidLastSave="{00000000-0000-0000-0000-000000000000}"/>
  <bookViews>
    <workbookView xWindow="-120" yWindow="-120" windowWidth="29040" windowHeight="15840" xr2:uid="{9F94666B-C2E9-4014-9AAE-3EDB30EB8B88}"/>
  </bookViews>
  <sheets>
    <sheet name="Sheet1" sheetId="1" r:id="rId1"/>
  </sheets>
  <definedNames>
    <definedName name="_xlnm._FilterDatabase" localSheetId="0" hidden="1">Sheet1!$A$1:$E$1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D2" i="1"/>
  <c r="C2" i="1"/>
  <c r="B2" i="1"/>
  <c r="A2" i="1"/>
  <c r="E3" i="1"/>
  <c r="D3" i="1"/>
  <c r="C3" i="1"/>
  <c r="B3" i="1"/>
  <c r="A3" i="1"/>
  <c r="E4" i="1"/>
  <c r="D4" i="1"/>
  <c r="C4" i="1"/>
  <c r="B4" i="1"/>
  <c r="A4" i="1"/>
  <c r="E5" i="1"/>
  <c r="D5" i="1"/>
  <c r="C5" i="1"/>
  <c r="B5" i="1"/>
  <c r="A5" i="1"/>
  <c r="E6" i="1"/>
  <c r="D6" i="1"/>
  <c r="C6" i="1"/>
  <c r="B6" i="1"/>
  <c r="A6" i="1"/>
  <c r="E7" i="1"/>
  <c r="D7" i="1"/>
  <c r="C7" i="1"/>
  <c r="B7" i="1"/>
  <c r="A7" i="1"/>
  <c r="E8" i="1"/>
  <c r="D8" i="1"/>
  <c r="C8" i="1"/>
  <c r="B8" i="1"/>
  <c r="A8" i="1"/>
  <c r="E9" i="1"/>
  <c r="D9" i="1"/>
  <c r="C9" i="1"/>
  <c r="B9" i="1"/>
  <c r="A9" i="1"/>
  <c r="E10" i="1"/>
  <c r="D10" i="1"/>
  <c r="C10" i="1"/>
  <c r="B10" i="1"/>
  <c r="A10" i="1"/>
  <c r="E11" i="1"/>
  <c r="D11" i="1"/>
  <c r="C11" i="1"/>
  <c r="B11" i="1"/>
  <c r="A11" i="1"/>
  <c r="E12" i="1"/>
  <c r="D12" i="1"/>
  <c r="C12" i="1"/>
  <c r="B12" i="1"/>
  <c r="A12" i="1"/>
  <c r="E13" i="1"/>
  <c r="D13" i="1"/>
  <c r="C13" i="1"/>
  <c r="B13" i="1"/>
  <c r="A13" i="1"/>
  <c r="E14" i="1"/>
  <c r="D14" i="1"/>
  <c r="C14" i="1"/>
  <c r="B14" i="1"/>
  <c r="A14" i="1"/>
  <c r="E15" i="1"/>
  <c r="D15" i="1"/>
  <c r="C15" i="1"/>
  <c r="B15" i="1"/>
  <c r="A15" i="1"/>
  <c r="E16" i="1"/>
  <c r="D16" i="1"/>
  <c r="C16" i="1"/>
  <c r="B16" i="1"/>
  <c r="A16" i="1"/>
  <c r="E17" i="1"/>
  <c r="D17" i="1"/>
  <c r="C17" i="1"/>
  <c r="B17" i="1"/>
  <c r="A17" i="1"/>
  <c r="E18" i="1"/>
  <c r="D18" i="1"/>
  <c r="C18" i="1"/>
  <c r="B18" i="1"/>
  <c r="A18" i="1"/>
  <c r="E19" i="1"/>
  <c r="D19" i="1"/>
  <c r="C19" i="1"/>
  <c r="B19" i="1"/>
  <c r="A19" i="1"/>
  <c r="E20" i="1"/>
  <c r="D20" i="1"/>
  <c r="C20" i="1"/>
  <c r="B20" i="1"/>
  <c r="A20" i="1"/>
  <c r="E21" i="1"/>
  <c r="D21" i="1"/>
  <c r="C21" i="1"/>
  <c r="B21" i="1"/>
  <c r="A21" i="1"/>
  <c r="E22" i="1"/>
  <c r="D22" i="1"/>
  <c r="C22" i="1"/>
  <c r="B22" i="1"/>
  <c r="A22" i="1"/>
  <c r="E23" i="1"/>
  <c r="D23" i="1"/>
  <c r="C23" i="1"/>
  <c r="B23" i="1"/>
  <c r="A23" i="1"/>
  <c r="E24" i="1"/>
  <c r="D24" i="1"/>
  <c r="C24" i="1"/>
  <c r="B24" i="1"/>
  <c r="A24" i="1"/>
  <c r="E25" i="1"/>
  <c r="D25" i="1"/>
  <c r="C25" i="1"/>
  <c r="B25" i="1"/>
  <c r="A25" i="1"/>
  <c r="E26" i="1"/>
  <c r="D26" i="1"/>
  <c r="C26" i="1"/>
  <c r="B26" i="1"/>
  <c r="A26" i="1"/>
  <c r="E27" i="1"/>
  <c r="D27" i="1"/>
  <c r="C27" i="1"/>
  <c r="B27" i="1"/>
  <c r="A27" i="1"/>
  <c r="E28" i="1"/>
  <c r="D28" i="1"/>
  <c r="C28" i="1"/>
  <c r="B28" i="1"/>
  <c r="A28" i="1"/>
  <c r="E29" i="1"/>
  <c r="D29" i="1"/>
  <c r="C29" i="1"/>
  <c r="B29" i="1"/>
  <c r="A29" i="1"/>
  <c r="E30" i="1"/>
  <c r="D30" i="1"/>
  <c r="C30" i="1"/>
  <c r="B30" i="1"/>
  <c r="A30" i="1"/>
  <c r="E31" i="1"/>
  <c r="D31" i="1"/>
  <c r="C31" i="1"/>
  <c r="B31" i="1"/>
  <c r="A31" i="1"/>
  <c r="E32" i="1"/>
  <c r="D32" i="1"/>
  <c r="C32" i="1"/>
  <c r="B32" i="1"/>
  <c r="A32" i="1"/>
  <c r="E33" i="1"/>
  <c r="D33" i="1"/>
  <c r="C33" i="1"/>
  <c r="B33" i="1"/>
  <c r="A33" i="1"/>
  <c r="E34" i="1"/>
  <c r="D34" i="1"/>
  <c r="C34" i="1"/>
  <c r="B34" i="1"/>
  <c r="A34" i="1"/>
  <c r="E35" i="1"/>
  <c r="D35" i="1"/>
  <c r="C35" i="1"/>
  <c r="B35" i="1"/>
  <c r="A35" i="1"/>
  <c r="E36" i="1"/>
  <c r="D36" i="1"/>
  <c r="C36" i="1"/>
  <c r="B36" i="1"/>
  <c r="A36" i="1"/>
  <c r="E37" i="1"/>
  <c r="D37" i="1"/>
  <c r="C37" i="1"/>
  <c r="B37" i="1"/>
  <c r="A37" i="1"/>
  <c r="E38" i="1"/>
  <c r="D38" i="1"/>
  <c r="C38" i="1"/>
  <c r="B38" i="1"/>
  <c r="A38" i="1"/>
  <c r="E39" i="1"/>
  <c r="D39" i="1"/>
  <c r="C39" i="1"/>
  <c r="B39" i="1"/>
  <c r="A39" i="1"/>
  <c r="E40" i="1"/>
  <c r="D40" i="1"/>
  <c r="C40" i="1"/>
  <c r="B40" i="1"/>
  <c r="A40" i="1"/>
  <c r="E41" i="1"/>
  <c r="D41" i="1"/>
  <c r="C41" i="1"/>
  <c r="B41" i="1"/>
  <c r="A41" i="1"/>
  <c r="E42" i="1"/>
  <c r="D42" i="1"/>
  <c r="C42" i="1"/>
  <c r="B42" i="1"/>
  <c r="A42" i="1"/>
  <c r="E43" i="1"/>
  <c r="D43" i="1"/>
  <c r="C43" i="1"/>
  <c r="B43" i="1"/>
  <c r="A43" i="1"/>
  <c r="E44" i="1"/>
  <c r="D44" i="1"/>
  <c r="C44" i="1"/>
  <c r="B44" i="1"/>
  <c r="A44" i="1"/>
  <c r="E45" i="1"/>
  <c r="D45" i="1"/>
  <c r="C45" i="1"/>
  <c r="B45" i="1"/>
  <c r="A45" i="1"/>
  <c r="E46" i="1"/>
  <c r="D46" i="1"/>
  <c r="C46" i="1"/>
  <c r="B46" i="1"/>
  <c r="A46" i="1"/>
  <c r="E47" i="1"/>
  <c r="D47" i="1"/>
  <c r="C47" i="1"/>
  <c r="B47" i="1"/>
  <c r="A47" i="1"/>
  <c r="E48" i="1"/>
  <c r="D48" i="1"/>
  <c r="C48" i="1"/>
  <c r="B48" i="1"/>
  <c r="A48" i="1"/>
  <c r="E49" i="1"/>
  <c r="D49" i="1"/>
  <c r="C49" i="1"/>
  <c r="B49" i="1"/>
  <c r="A49" i="1"/>
  <c r="E50" i="1"/>
  <c r="D50" i="1"/>
  <c r="C50" i="1"/>
  <c r="B50" i="1"/>
  <c r="A50" i="1"/>
  <c r="E51" i="1"/>
  <c r="D51" i="1"/>
  <c r="C51" i="1"/>
  <c r="B51" i="1"/>
  <c r="A51" i="1"/>
  <c r="E52" i="1"/>
  <c r="D52" i="1"/>
  <c r="C52" i="1"/>
  <c r="B52" i="1"/>
  <c r="A52" i="1"/>
  <c r="E53" i="1"/>
  <c r="D53" i="1"/>
  <c r="C53" i="1"/>
  <c r="B53" i="1"/>
  <c r="A53" i="1"/>
  <c r="E54" i="1"/>
  <c r="D54" i="1"/>
  <c r="C54" i="1"/>
  <c r="B54" i="1"/>
  <c r="A54" i="1"/>
  <c r="E55" i="1"/>
  <c r="D55" i="1"/>
  <c r="C55" i="1"/>
  <c r="B55" i="1"/>
  <c r="A55" i="1"/>
  <c r="E56" i="1"/>
  <c r="D56" i="1"/>
  <c r="C56" i="1"/>
  <c r="B56" i="1"/>
  <c r="A56" i="1"/>
  <c r="E57" i="1"/>
  <c r="D57" i="1"/>
  <c r="C57" i="1"/>
  <c r="B57" i="1"/>
  <c r="A57" i="1"/>
  <c r="E58" i="1"/>
  <c r="D58" i="1"/>
  <c r="C58" i="1"/>
  <c r="B58" i="1"/>
  <c r="A58" i="1"/>
  <c r="E59" i="1"/>
  <c r="D59" i="1"/>
  <c r="C59" i="1"/>
  <c r="B59" i="1"/>
  <c r="A59" i="1"/>
  <c r="E60" i="1"/>
  <c r="D60" i="1"/>
  <c r="C60" i="1"/>
  <c r="B60" i="1"/>
  <c r="A60" i="1"/>
  <c r="E61" i="1"/>
  <c r="D61" i="1"/>
  <c r="C61" i="1"/>
  <c r="B61" i="1"/>
  <c r="A61" i="1"/>
  <c r="E62" i="1"/>
  <c r="D62" i="1"/>
  <c r="C62" i="1"/>
  <c r="B62" i="1"/>
  <c r="A62" i="1"/>
  <c r="E63" i="1"/>
  <c r="D63" i="1"/>
  <c r="C63" i="1"/>
  <c r="B63" i="1"/>
  <c r="A63" i="1"/>
  <c r="E64" i="1"/>
  <c r="D64" i="1"/>
  <c r="C64" i="1"/>
  <c r="B64" i="1"/>
  <c r="A64" i="1"/>
  <c r="E65" i="1"/>
  <c r="D65" i="1"/>
  <c r="C65" i="1"/>
  <c r="B65" i="1"/>
  <c r="A65" i="1"/>
  <c r="E66" i="1"/>
  <c r="D66" i="1"/>
  <c r="C66" i="1"/>
  <c r="B66" i="1"/>
  <c r="A66" i="1"/>
  <c r="E67" i="1"/>
  <c r="D67" i="1"/>
  <c r="C67" i="1"/>
  <c r="B67" i="1"/>
  <c r="A67" i="1"/>
  <c r="E68" i="1"/>
  <c r="D68" i="1"/>
  <c r="C68" i="1"/>
  <c r="B68" i="1"/>
  <c r="A68" i="1"/>
  <c r="E69" i="1"/>
  <c r="D69" i="1"/>
  <c r="C69" i="1"/>
  <c r="B69" i="1"/>
  <c r="A69" i="1"/>
  <c r="E70" i="1"/>
  <c r="D70" i="1"/>
  <c r="C70" i="1"/>
  <c r="B70" i="1"/>
  <c r="A70" i="1"/>
  <c r="E71" i="1"/>
  <c r="D71" i="1"/>
  <c r="C71" i="1"/>
  <c r="B71" i="1"/>
  <c r="A71" i="1"/>
  <c r="E72" i="1"/>
  <c r="D72" i="1"/>
  <c r="C72" i="1"/>
  <c r="B72" i="1"/>
  <c r="A72" i="1"/>
  <c r="E73" i="1"/>
  <c r="D73" i="1"/>
  <c r="C73" i="1"/>
  <c r="B73" i="1"/>
  <c r="A73" i="1"/>
  <c r="E74" i="1"/>
  <c r="D74" i="1"/>
  <c r="C74" i="1"/>
  <c r="B74" i="1"/>
  <c r="A74" i="1"/>
  <c r="E75" i="1"/>
  <c r="D75" i="1"/>
  <c r="C75" i="1"/>
  <c r="B75" i="1"/>
  <c r="A75" i="1"/>
  <c r="E76" i="1"/>
  <c r="D76" i="1"/>
  <c r="C76" i="1"/>
  <c r="B76" i="1"/>
  <c r="A76" i="1"/>
  <c r="E77" i="1"/>
  <c r="D77" i="1"/>
  <c r="C77" i="1"/>
  <c r="B77" i="1"/>
  <c r="A77" i="1"/>
  <c r="E78" i="1"/>
  <c r="D78" i="1"/>
  <c r="C78" i="1"/>
  <c r="B78" i="1"/>
  <c r="A78" i="1"/>
  <c r="E79" i="1"/>
  <c r="D79" i="1"/>
  <c r="C79" i="1"/>
  <c r="B79" i="1"/>
  <c r="A79" i="1"/>
  <c r="E80" i="1"/>
  <c r="D80" i="1"/>
  <c r="C80" i="1"/>
  <c r="B80" i="1"/>
  <c r="A80" i="1"/>
  <c r="E81" i="1"/>
  <c r="D81" i="1"/>
  <c r="C81" i="1"/>
  <c r="B81" i="1"/>
  <c r="A81" i="1"/>
  <c r="E82" i="1"/>
  <c r="D82" i="1"/>
  <c r="C82" i="1"/>
  <c r="B82" i="1"/>
  <c r="A82" i="1"/>
  <c r="E83" i="1"/>
  <c r="D83" i="1"/>
  <c r="C83" i="1"/>
  <c r="B83" i="1"/>
  <c r="A83" i="1"/>
  <c r="E84" i="1"/>
  <c r="D84" i="1"/>
  <c r="C84" i="1"/>
  <c r="B84" i="1"/>
  <c r="A84" i="1"/>
  <c r="E85" i="1"/>
  <c r="D85" i="1"/>
  <c r="C85" i="1"/>
  <c r="B85" i="1"/>
  <c r="A85" i="1"/>
  <c r="E86" i="1"/>
  <c r="D86" i="1"/>
  <c r="C86" i="1"/>
  <c r="B86" i="1"/>
  <c r="A86" i="1"/>
  <c r="E87" i="1"/>
  <c r="D87" i="1"/>
  <c r="C87" i="1"/>
  <c r="B87" i="1"/>
  <c r="A87" i="1"/>
  <c r="E88" i="1"/>
  <c r="D88" i="1"/>
  <c r="C88" i="1"/>
  <c r="B88" i="1"/>
  <c r="A88" i="1"/>
  <c r="E89" i="1"/>
  <c r="D89" i="1"/>
  <c r="C89" i="1"/>
  <c r="B89" i="1"/>
  <c r="A89" i="1"/>
  <c r="E90" i="1"/>
  <c r="D90" i="1"/>
  <c r="C90" i="1"/>
  <c r="B90" i="1"/>
  <c r="A90" i="1"/>
  <c r="E91" i="1"/>
  <c r="D91" i="1"/>
  <c r="C91" i="1"/>
  <c r="B91" i="1"/>
  <c r="A91" i="1"/>
  <c r="E92" i="1"/>
  <c r="D92" i="1"/>
  <c r="C92" i="1"/>
  <c r="B92" i="1"/>
  <c r="A92" i="1"/>
  <c r="E93" i="1"/>
  <c r="D93" i="1"/>
  <c r="C93" i="1"/>
  <c r="B93" i="1"/>
  <c r="A93" i="1"/>
  <c r="E94" i="1"/>
  <c r="D94" i="1"/>
  <c r="C94" i="1"/>
  <c r="B94" i="1"/>
  <c r="A94" i="1"/>
  <c r="E95" i="1"/>
  <c r="D95" i="1"/>
  <c r="C95" i="1"/>
  <c r="B95" i="1"/>
  <c r="A95" i="1"/>
  <c r="E96" i="1"/>
  <c r="D96" i="1"/>
  <c r="C96" i="1"/>
  <c r="B96" i="1"/>
  <c r="A96" i="1"/>
  <c r="E97" i="1"/>
  <c r="D97" i="1"/>
  <c r="C97" i="1"/>
  <c r="B97" i="1"/>
  <c r="A97" i="1"/>
  <c r="E98" i="1"/>
  <c r="D98" i="1"/>
  <c r="C98" i="1"/>
  <c r="B98" i="1"/>
  <c r="A98" i="1"/>
  <c r="E99" i="1"/>
  <c r="D99" i="1"/>
  <c r="C99" i="1"/>
  <c r="B99" i="1"/>
  <c r="A99" i="1"/>
  <c r="E100" i="1"/>
  <c r="D100" i="1"/>
  <c r="C100" i="1"/>
  <c r="B100" i="1"/>
  <c r="A100" i="1"/>
  <c r="E101" i="1"/>
  <c r="D101" i="1"/>
  <c r="C101" i="1"/>
  <c r="B101" i="1"/>
  <c r="A101" i="1"/>
  <c r="E102" i="1"/>
  <c r="D102" i="1"/>
  <c r="C102" i="1"/>
  <c r="B102" i="1"/>
  <c r="A102" i="1"/>
  <c r="E103" i="1"/>
  <c r="D103" i="1"/>
  <c r="C103" i="1"/>
  <c r="B103" i="1"/>
  <c r="A103" i="1"/>
  <c r="E104" i="1"/>
  <c r="D104" i="1"/>
  <c r="C104" i="1"/>
  <c r="B104" i="1"/>
  <c r="A104" i="1"/>
  <c r="E105" i="1"/>
  <c r="D105" i="1"/>
  <c r="C105" i="1"/>
  <c r="B105" i="1"/>
  <c r="A105" i="1"/>
  <c r="E106" i="1"/>
  <c r="D106" i="1"/>
  <c r="C106" i="1"/>
  <c r="B106" i="1"/>
  <c r="A106" i="1"/>
  <c r="E107" i="1"/>
  <c r="D107" i="1"/>
  <c r="C107" i="1"/>
  <c r="B107" i="1"/>
  <c r="A107" i="1"/>
  <c r="E108" i="1"/>
  <c r="D108" i="1"/>
  <c r="C108" i="1"/>
  <c r="B108" i="1"/>
  <c r="A108" i="1"/>
  <c r="E109" i="1"/>
  <c r="D109" i="1"/>
  <c r="C109" i="1"/>
  <c r="B109" i="1"/>
  <c r="A109" i="1"/>
  <c r="E110" i="1"/>
  <c r="D110" i="1"/>
  <c r="C110" i="1"/>
  <c r="B110" i="1"/>
  <c r="A110" i="1"/>
  <c r="E111" i="1"/>
  <c r="D111" i="1"/>
  <c r="C111" i="1"/>
  <c r="B111" i="1"/>
  <c r="A111" i="1"/>
  <c r="E112" i="1"/>
  <c r="D112" i="1"/>
  <c r="C112" i="1"/>
  <c r="B112" i="1"/>
  <c r="A112" i="1"/>
  <c r="E113" i="1"/>
  <c r="D113" i="1"/>
  <c r="C113" i="1"/>
  <c r="B113" i="1"/>
  <c r="A113" i="1"/>
  <c r="E114" i="1"/>
  <c r="D114" i="1"/>
  <c r="C114" i="1"/>
  <c r="B114" i="1"/>
  <c r="A114" i="1"/>
  <c r="E115" i="1"/>
  <c r="D115" i="1"/>
  <c r="C115" i="1"/>
  <c r="B115" i="1"/>
  <c r="A115" i="1"/>
  <c r="E116" i="1"/>
  <c r="D116" i="1"/>
  <c r="C116" i="1"/>
  <c r="B116" i="1"/>
  <c r="A116" i="1"/>
  <c r="E117" i="1"/>
  <c r="D117" i="1"/>
  <c r="C117" i="1"/>
  <c r="B117" i="1"/>
  <c r="A117" i="1"/>
  <c r="E118" i="1"/>
  <c r="D118" i="1"/>
  <c r="C118" i="1"/>
  <c r="B118" i="1"/>
  <c r="A118" i="1"/>
  <c r="E119" i="1"/>
  <c r="D119" i="1"/>
  <c r="C119" i="1"/>
  <c r="B119" i="1"/>
  <c r="A119" i="1"/>
  <c r="E120" i="1"/>
  <c r="D120" i="1"/>
  <c r="C120" i="1"/>
  <c r="B120" i="1"/>
  <c r="A120" i="1"/>
  <c r="E121" i="1"/>
  <c r="D121" i="1"/>
  <c r="C121" i="1"/>
  <c r="B121" i="1"/>
  <c r="A121" i="1"/>
  <c r="E122" i="1"/>
  <c r="D122" i="1"/>
  <c r="C122" i="1"/>
  <c r="B122" i="1"/>
  <c r="A122" i="1"/>
  <c r="E123" i="1"/>
  <c r="D123" i="1"/>
  <c r="C123" i="1"/>
  <c r="B123" i="1"/>
  <c r="A123" i="1"/>
  <c r="E124" i="1"/>
  <c r="D124" i="1"/>
  <c r="C124" i="1"/>
  <c r="B124" i="1"/>
  <c r="A124" i="1"/>
  <c r="E125" i="1"/>
  <c r="D125" i="1"/>
  <c r="C125" i="1"/>
  <c r="B125" i="1"/>
  <c r="A125" i="1"/>
  <c r="E126" i="1"/>
  <c r="D126" i="1"/>
  <c r="C126" i="1"/>
  <c r="B126" i="1"/>
  <c r="A126" i="1"/>
  <c r="E127" i="1"/>
  <c r="D127" i="1"/>
  <c r="C127" i="1"/>
  <c r="B127" i="1"/>
  <c r="A127" i="1"/>
  <c r="E128" i="1"/>
  <c r="D128" i="1"/>
  <c r="C128" i="1"/>
  <c r="B128" i="1"/>
  <c r="A128" i="1"/>
  <c r="E129" i="1"/>
  <c r="D129" i="1"/>
  <c r="C129" i="1"/>
  <c r="B129" i="1"/>
  <c r="A129" i="1"/>
  <c r="E130" i="1"/>
  <c r="D130" i="1"/>
  <c r="C130" i="1"/>
  <c r="B130" i="1"/>
  <c r="A130" i="1"/>
  <c r="E131" i="1"/>
  <c r="D131" i="1"/>
  <c r="C131" i="1"/>
  <c r="B131" i="1"/>
  <c r="A131" i="1"/>
  <c r="E132" i="1"/>
  <c r="D132" i="1"/>
  <c r="C132" i="1"/>
  <c r="B132" i="1"/>
  <c r="A132" i="1"/>
  <c r="E133" i="1"/>
  <c r="D133" i="1"/>
  <c r="C133" i="1"/>
  <c r="B133" i="1"/>
  <c r="A133" i="1"/>
  <c r="E134" i="1"/>
  <c r="D134" i="1"/>
  <c r="C134" i="1"/>
  <c r="B134" i="1"/>
  <c r="A134" i="1"/>
  <c r="E135" i="1"/>
  <c r="D135" i="1"/>
  <c r="C135" i="1"/>
  <c r="B135" i="1"/>
  <c r="A135" i="1"/>
  <c r="E136" i="1"/>
  <c r="D136" i="1"/>
  <c r="C136" i="1"/>
  <c r="B136" i="1"/>
  <c r="A136" i="1"/>
  <c r="E137" i="1"/>
  <c r="D137" i="1"/>
  <c r="C137" i="1"/>
  <c r="B137" i="1"/>
  <c r="A137" i="1"/>
  <c r="E138" i="1"/>
  <c r="D138" i="1"/>
  <c r="C138" i="1"/>
  <c r="B138" i="1"/>
  <c r="A138" i="1"/>
  <c r="E139" i="1"/>
  <c r="D139" i="1"/>
  <c r="C139" i="1"/>
  <c r="B139" i="1"/>
  <c r="A139" i="1"/>
  <c r="E140" i="1"/>
  <c r="D140" i="1"/>
  <c r="C140" i="1"/>
  <c r="B140" i="1"/>
  <c r="A140" i="1"/>
  <c r="E141" i="1"/>
  <c r="D141" i="1"/>
  <c r="C141" i="1"/>
  <c r="B141" i="1"/>
  <c r="A141" i="1"/>
  <c r="E142" i="1"/>
  <c r="D142" i="1"/>
  <c r="C142" i="1"/>
  <c r="B142" i="1"/>
  <c r="A142" i="1"/>
  <c r="E143" i="1"/>
  <c r="D143" i="1"/>
  <c r="C143" i="1"/>
  <c r="B143" i="1"/>
  <c r="A143" i="1"/>
  <c r="E144" i="1"/>
  <c r="D144" i="1"/>
  <c r="C144" i="1"/>
  <c r="B144" i="1"/>
  <c r="A144" i="1"/>
  <c r="E145" i="1"/>
  <c r="D145" i="1"/>
  <c r="C145" i="1"/>
  <c r="B145" i="1"/>
  <c r="A145" i="1"/>
  <c r="E146" i="1"/>
  <c r="D146" i="1"/>
  <c r="C146" i="1"/>
  <c r="B146" i="1"/>
  <c r="A146" i="1"/>
  <c r="E147" i="1"/>
  <c r="D147" i="1"/>
  <c r="C147" i="1"/>
  <c r="B147" i="1"/>
  <c r="A147" i="1"/>
  <c r="E148" i="1"/>
  <c r="D148" i="1"/>
  <c r="C148" i="1"/>
  <c r="B148" i="1"/>
  <c r="A148" i="1"/>
  <c r="E149" i="1"/>
  <c r="D149" i="1"/>
  <c r="C149" i="1"/>
  <c r="B149" i="1"/>
  <c r="A149" i="1"/>
  <c r="E150" i="1"/>
  <c r="D150" i="1"/>
  <c r="C150" i="1"/>
  <c r="B150" i="1"/>
  <c r="A150" i="1"/>
  <c r="E151" i="1"/>
  <c r="D151" i="1"/>
  <c r="C151" i="1"/>
  <c r="B151" i="1"/>
  <c r="A151" i="1"/>
  <c r="E152" i="1"/>
  <c r="D152" i="1"/>
  <c r="C152" i="1"/>
  <c r="B152" i="1"/>
  <c r="A152" i="1"/>
  <c r="E153" i="1"/>
  <c r="D153" i="1"/>
  <c r="C153" i="1"/>
  <c r="B153" i="1"/>
  <c r="A153" i="1"/>
  <c r="E154" i="1"/>
  <c r="D154" i="1"/>
  <c r="C154" i="1"/>
  <c r="B154" i="1"/>
  <c r="A154" i="1"/>
  <c r="E155" i="1"/>
  <c r="D155" i="1"/>
  <c r="C155" i="1"/>
  <c r="B155" i="1"/>
  <c r="A155" i="1"/>
  <c r="E156" i="1"/>
  <c r="D156" i="1"/>
  <c r="C156" i="1"/>
  <c r="B156" i="1"/>
  <c r="A156" i="1"/>
  <c r="E157" i="1"/>
  <c r="D157" i="1"/>
  <c r="C157" i="1"/>
  <c r="B157" i="1"/>
  <c r="A157" i="1"/>
  <c r="E158" i="1"/>
  <c r="D158" i="1"/>
  <c r="C158" i="1"/>
  <c r="B158" i="1"/>
  <c r="A158" i="1"/>
  <c r="E159" i="1"/>
  <c r="D159" i="1"/>
  <c r="C159" i="1"/>
  <c r="B159" i="1"/>
  <c r="A159" i="1"/>
  <c r="E160" i="1"/>
  <c r="D160" i="1"/>
  <c r="C160" i="1"/>
  <c r="B160" i="1"/>
  <c r="A160" i="1"/>
  <c r="E161" i="1"/>
  <c r="D161" i="1"/>
  <c r="C161" i="1"/>
  <c r="B161" i="1"/>
  <c r="A161" i="1"/>
  <c r="E162" i="1"/>
  <c r="D162" i="1"/>
  <c r="C162" i="1"/>
  <c r="B162" i="1"/>
  <c r="A162" i="1"/>
  <c r="E163" i="1"/>
  <c r="D163" i="1"/>
  <c r="C163" i="1"/>
  <c r="B163" i="1"/>
  <c r="A163" i="1"/>
  <c r="E164" i="1"/>
  <c r="D164" i="1"/>
  <c r="C164" i="1"/>
  <c r="B164" i="1"/>
  <c r="A164" i="1"/>
  <c r="E165" i="1"/>
  <c r="D165" i="1"/>
  <c r="C165" i="1"/>
  <c r="B165" i="1"/>
  <c r="A165" i="1"/>
  <c r="E166" i="1"/>
  <c r="D166" i="1"/>
  <c r="C166" i="1"/>
  <c r="B166" i="1"/>
  <c r="A166" i="1"/>
  <c r="E167" i="1"/>
  <c r="D167" i="1"/>
  <c r="C167" i="1"/>
  <c r="B167" i="1"/>
  <c r="A167" i="1"/>
  <c r="E168" i="1"/>
  <c r="D168" i="1"/>
  <c r="C168" i="1"/>
  <c r="B168" i="1"/>
  <c r="A168" i="1"/>
  <c r="E169" i="1"/>
  <c r="D169" i="1"/>
  <c r="C169" i="1"/>
  <c r="B169" i="1"/>
  <c r="A169" i="1"/>
  <c r="E170" i="1"/>
  <c r="D170" i="1"/>
  <c r="C170" i="1"/>
  <c r="B170" i="1"/>
  <c r="A170" i="1"/>
  <c r="E171" i="1"/>
  <c r="D171" i="1"/>
  <c r="C171" i="1"/>
  <c r="B171" i="1"/>
  <c r="A171" i="1"/>
  <c r="E172" i="1"/>
  <c r="D172" i="1"/>
  <c r="C172" i="1"/>
  <c r="B172" i="1"/>
  <c r="A172" i="1"/>
  <c r="E173" i="1"/>
  <c r="D173" i="1"/>
  <c r="C173" i="1"/>
  <c r="B173" i="1"/>
  <c r="A173" i="1"/>
  <c r="E174" i="1"/>
  <c r="D174" i="1"/>
  <c r="C174" i="1"/>
  <c r="B174" i="1"/>
  <c r="A174" i="1"/>
  <c r="E175" i="1"/>
  <c r="D175" i="1"/>
  <c r="C175" i="1"/>
  <c r="B175" i="1"/>
  <c r="A175" i="1"/>
  <c r="E176" i="1"/>
  <c r="D176" i="1"/>
  <c r="C176" i="1"/>
  <c r="B176" i="1"/>
  <c r="A176" i="1"/>
  <c r="E177" i="1"/>
  <c r="D177" i="1"/>
  <c r="C177" i="1"/>
  <c r="B177" i="1"/>
  <c r="A177" i="1"/>
  <c r="E178" i="1"/>
  <c r="D178" i="1"/>
  <c r="C178" i="1"/>
  <c r="B178" i="1"/>
  <c r="A178" i="1"/>
  <c r="E179" i="1"/>
  <c r="D179" i="1"/>
  <c r="C179" i="1"/>
  <c r="B179" i="1"/>
  <c r="A179" i="1"/>
  <c r="E180" i="1"/>
  <c r="D180" i="1"/>
  <c r="C180" i="1"/>
  <c r="B180" i="1"/>
  <c r="A180" i="1"/>
  <c r="E181" i="1"/>
  <c r="D181" i="1"/>
  <c r="C181" i="1"/>
  <c r="B181" i="1"/>
  <c r="A181" i="1"/>
  <c r="E182" i="1"/>
  <c r="D182" i="1"/>
  <c r="C182" i="1"/>
  <c r="B182" i="1"/>
  <c r="A182" i="1"/>
  <c r="E183" i="1"/>
  <c r="D183" i="1"/>
  <c r="C183" i="1"/>
  <c r="B183" i="1"/>
  <c r="A183" i="1"/>
  <c r="E184" i="1"/>
  <c r="D184" i="1"/>
  <c r="C184" i="1"/>
  <c r="B184" i="1"/>
  <c r="A184" i="1"/>
  <c r="E185" i="1"/>
  <c r="D185" i="1"/>
  <c r="C185" i="1"/>
  <c r="B185" i="1"/>
  <c r="A185" i="1"/>
  <c r="E186" i="1"/>
  <c r="D186" i="1"/>
  <c r="C186" i="1"/>
  <c r="B186" i="1"/>
  <c r="A186" i="1"/>
  <c r="E187" i="1"/>
  <c r="D187" i="1"/>
  <c r="C187" i="1"/>
  <c r="B187" i="1"/>
  <c r="A187" i="1"/>
  <c r="E188" i="1"/>
  <c r="D188" i="1"/>
  <c r="C188" i="1"/>
  <c r="B188" i="1"/>
  <c r="A188" i="1"/>
  <c r="E189" i="1"/>
  <c r="D189" i="1"/>
  <c r="C189" i="1"/>
  <c r="B189" i="1"/>
  <c r="A189" i="1"/>
  <c r="E190" i="1"/>
  <c r="D190" i="1"/>
  <c r="C190" i="1"/>
  <c r="B190" i="1"/>
  <c r="A190" i="1"/>
  <c r="E191" i="1"/>
  <c r="D191" i="1"/>
  <c r="C191" i="1"/>
  <c r="B191" i="1"/>
  <c r="A191" i="1"/>
  <c r="E192" i="1"/>
  <c r="D192" i="1"/>
  <c r="C192" i="1"/>
  <c r="B192" i="1"/>
  <c r="A192" i="1"/>
  <c r="E193" i="1"/>
  <c r="D193" i="1"/>
  <c r="C193" i="1"/>
  <c r="B193" i="1"/>
  <c r="A193" i="1"/>
  <c r="E194" i="1"/>
  <c r="D194" i="1"/>
  <c r="C194" i="1"/>
  <c r="B194" i="1"/>
  <c r="A194" i="1"/>
  <c r="E195" i="1"/>
  <c r="D195" i="1"/>
  <c r="C195" i="1"/>
  <c r="B195" i="1"/>
  <c r="A195" i="1"/>
  <c r="E196" i="1"/>
  <c r="D196" i="1"/>
  <c r="C196" i="1"/>
  <c r="B196" i="1"/>
  <c r="A196" i="1"/>
  <c r="E197" i="1"/>
  <c r="D197" i="1"/>
  <c r="C197" i="1"/>
  <c r="B197" i="1"/>
  <c r="A197" i="1"/>
  <c r="E198" i="1"/>
  <c r="D198" i="1"/>
  <c r="C198" i="1"/>
  <c r="B198" i="1"/>
  <c r="A198" i="1"/>
  <c r="E199" i="1"/>
  <c r="D199" i="1"/>
  <c r="C199" i="1"/>
  <c r="B199" i="1"/>
  <c r="A199" i="1"/>
  <c r="E200" i="1"/>
  <c r="D200" i="1"/>
  <c r="C200" i="1"/>
  <c r="B200" i="1"/>
  <c r="A200" i="1"/>
  <c r="E201" i="1"/>
  <c r="D201" i="1"/>
  <c r="C201" i="1"/>
  <c r="B201" i="1"/>
  <c r="A201" i="1"/>
  <c r="E202" i="1"/>
  <c r="D202" i="1"/>
  <c r="C202" i="1"/>
  <c r="B202" i="1"/>
  <c r="A202" i="1"/>
  <c r="E203" i="1"/>
  <c r="D203" i="1"/>
  <c r="C203" i="1"/>
  <c r="B203" i="1"/>
  <c r="A203" i="1"/>
  <c r="E204" i="1"/>
  <c r="D204" i="1"/>
  <c r="C204" i="1"/>
  <c r="B204" i="1"/>
  <c r="A204" i="1"/>
  <c r="E205" i="1"/>
  <c r="D205" i="1"/>
  <c r="C205" i="1"/>
  <c r="B205" i="1"/>
  <c r="A205" i="1"/>
  <c r="E206" i="1"/>
  <c r="D206" i="1"/>
  <c r="C206" i="1"/>
  <c r="B206" i="1"/>
  <c r="A206" i="1"/>
  <c r="E207" i="1"/>
  <c r="D207" i="1"/>
  <c r="C207" i="1"/>
  <c r="B207" i="1"/>
  <c r="A207" i="1"/>
  <c r="E208" i="1"/>
  <c r="D208" i="1"/>
  <c r="C208" i="1"/>
  <c r="B208" i="1"/>
  <c r="A208" i="1"/>
  <c r="E209" i="1"/>
  <c r="D209" i="1"/>
  <c r="C209" i="1"/>
  <c r="B209" i="1"/>
  <c r="A209" i="1"/>
  <c r="E210" i="1"/>
  <c r="D210" i="1"/>
  <c r="C210" i="1"/>
  <c r="B210" i="1"/>
  <c r="A210" i="1"/>
  <c r="E211" i="1"/>
  <c r="D211" i="1"/>
  <c r="C211" i="1"/>
  <c r="B211" i="1"/>
  <c r="A211" i="1"/>
  <c r="E212" i="1"/>
  <c r="D212" i="1"/>
  <c r="C212" i="1"/>
  <c r="B212" i="1"/>
  <c r="A212" i="1"/>
  <c r="E213" i="1"/>
  <c r="D213" i="1"/>
  <c r="C213" i="1"/>
  <c r="B213" i="1"/>
  <c r="A213" i="1"/>
  <c r="E214" i="1"/>
  <c r="D214" i="1"/>
  <c r="C214" i="1"/>
  <c r="B214" i="1"/>
  <c r="A214" i="1"/>
  <c r="E215" i="1"/>
  <c r="D215" i="1"/>
  <c r="C215" i="1"/>
  <c r="B215" i="1"/>
  <c r="A215" i="1"/>
  <c r="E216" i="1"/>
  <c r="D216" i="1"/>
  <c r="C216" i="1"/>
  <c r="B216" i="1"/>
  <c r="A216" i="1"/>
  <c r="E217" i="1"/>
  <c r="D217" i="1"/>
  <c r="C217" i="1"/>
  <c r="B217" i="1"/>
  <c r="A217" i="1"/>
  <c r="E218" i="1"/>
  <c r="D218" i="1"/>
  <c r="C218" i="1"/>
  <c r="B218" i="1"/>
  <c r="A218" i="1"/>
  <c r="E219" i="1"/>
  <c r="D219" i="1"/>
  <c r="C219" i="1"/>
  <c r="B219" i="1"/>
  <c r="A219" i="1"/>
  <c r="E220" i="1"/>
  <c r="D220" i="1"/>
  <c r="C220" i="1"/>
  <c r="B220" i="1"/>
  <c r="A220" i="1"/>
  <c r="E221" i="1"/>
  <c r="D221" i="1"/>
  <c r="C221" i="1"/>
  <c r="B221" i="1"/>
  <c r="A221" i="1"/>
  <c r="E222" i="1"/>
  <c r="D222" i="1"/>
  <c r="C222" i="1"/>
  <c r="B222" i="1"/>
  <c r="A222" i="1"/>
  <c r="E223" i="1"/>
  <c r="D223" i="1"/>
  <c r="C223" i="1"/>
  <c r="B223" i="1"/>
  <c r="A223" i="1"/>
  <c r="E224" i="1"/>
  <c r="D224" i="1"/>
  <c r="C224" i="1"/>
  <c r="B224" i="1"/>
  <c r="A224" i="1"/>
  <c r="E225" i="1"/>
  <c r="D225" i="1"/>
  <c r="C225" i="1"/>
  <c r="B225" i="1"/>
  <c r="A225" i="1"/>
  <c r="E226" i="1"/>
  <c r="D226" i="1"/>
  <c r="C226" i="1"/>
  <c r="B226" i="1"/>
  <c r="A226" i="1"/>
  <c r="E227" i="1"/>
  <c r="D227" i="1"/>
  <c r="C227" i="1"/>
  <c r="B227" i="1"/>
  <c r="A227" i="1"/>
  <c r="E228" i="1"/>
  <c r="D228" i="1"/>
  <c r="C228" i="1"/>
  <c r="B228" i="1"/>
  <c r="A228" i="1"/>
  <c r="E229" i="1"/>
  <c r="D229" i="1"/>
  <c r="C229" i="1"/>
  <c r="B229" i="1"/>
  <c r="A229" i="1"/>
  <c r="E230" i="1"/>
  <c r="D230" i="1"/>
  <c r="C230" i="1"/>
  <c r="B230" i="1"/>
  <c r="A230" i="1"/>
  <c r="E231" i="1"/>
  <c r="D231" i="1"/>
  <c r="C231" i="1"/>
  <c r="B231" i="1"/>
  <c r="A231" i="1"/>
  <c r="E232" i="1"/>
  <c r="D232" i="1"/>
  <c r="C232" i="1"/>
  <c r="B232" i="1"/>
  <c r="A232" i="1"/>
  <c r="E233" i="1"/>
  <c r="D233" i="1"/>
  <c r="C233" i="1"/>
  <c r="B233" i="1"/>
  <c r="A233" i="1"/>
  <c r="E234" i="1"/>
  <c r="D234" i="1"/>
  <c r="C234" i="1"/>
  <c r="B234" i="1"/>
  <c r="A234" i="1"/>
  <c r="E235" i="1"/>
  <c r="D235" i="1"/>
  <c r="C235" i="1"/>
  <c r="B235" i="1"/>
  <c r="A235" i="1"/>
  <c r="E236" i="1"/>
  <c r="D236" i="1"/>
  <c r="C236" i="1"/>
  <c r="B236" i="1"/>
  <c r="A236" i="1"/>
  <c r="E237" i="1"/>
  <c r="D237" i="1"/>
  <c r="C237" i="1"/>
  <c r="B237" i="1"/>
  <c r="A237" i="1"/>
  <c r="E238" i="1"/>
  <c r="D238" i="1"/>
  <c r="C238" i="1"/>
  <c r="B238" i="1"/>
  <c r="A238" i="1"/>
  <c r="E239" i="1"/>
  <c r="D239" i="1"/>
  <c r="C239" i="1"/>
  <c r="B239" i="1"/>
  <c r="A239" i="1"/>
  <c r="E240" i="1"/>
  <c r="D240" i="1"/>
  <c r="C240" i="1"/>
  <c r="B240" i="1"/>
  <c r="A240" i="1"/>
  <c r="E241" i="1"/>
  <c r="D241" i="1"/>
  <c r="C241" i="1"/>
  <c r="B241" i="1"/>
  <c r="A241" i="1"/>
  <c r="E242" i="1"/>
  <c r="D242" i="1"/>
  <c r="C242" i="1"/>
  <c r="B242" i="1"/>
  <c r="A242" i="1"/>
  <c r="E243" i="1"/>
  <c r="D243" i="1"/>
  <c r="C243" i="1"/>
  <c r="B243" i="1"/>
  <c r="A243" i="1"/>
  <c r="E244" i="1"/>
  <c r="D244" i="1"/>
  <c r="C244" i="1"/>
  <c r="B244" i="1"/>
  <c r="A244" i="1"/>
  <c r="E245" i="1"/>
  <c r="D245" i="1"/>
  <c r="C245" i="1"/>
  <c r="B245" i="1"/>
  <c r="A245" i="1"/>
  <c r="E246" i="1"/>
  <c r="D246" i="1"/>
  <c r="C246" i="1"/>
  <c r="B246" i="1"/>
  <c r="A246" i="1"/>
  <c r="E247" i="1"/>
  <c r="D247" i="1"/>
  <c r="C247" i="1"/>
  <c r="B247" i="1"/>
  <c r="A247" i="1"/>
  <c r="E248" i="1"/>
  <c r="D248" i="1"/>
  <c r="C248" i="1"/>
  <c r="B248" i="1"/>
  <c r="A248" i="1"/>
  <c r="E249" i="1"/>
  <c r="D249" i="1"/>
  <c r="C249" i="1"/>
  <c r="B249" i="1"/>
  <c r="A249" i="1"/>
  <c r="E250" i="1"/>
  <c r="D250" i="1"/>
  <c r="C250" i="1"/>
  <c r="B250" i="1"/>
  <c r="A250" i="1"/>
  <c r="E251" i="1"/>
  <c r="D251" i="1"/>
  <c r="C251" i="1"/>
  <c r="B251" i="1"/>
  <c r="A251" i="1"/>
  <c r="E252" i="1"/>
  <c r="D252" i="1"/>
  <c r="C252" i="1"/>
  <c r="B252" i="1"/>
  <c r="A252" i="1"/>
  <c r="E253" i="1"/>
  <c r="D253" i="1"/>
  <c r="C253" i="1"/>
  <c r="B253" i="1"/>
  <c r="A253" i="1"/>
  <c r="E254" i="1"/>
  <c r="D254" i="1"/>
  <c r="C254" i="1"/>
  <c r="B254" i="1"/>
  <c r="A254" i="1"/>
  <c r="E255" i="1"/>
  <c r="D255" i="1"/>
  <c r="C255" i="1"/>
  <c r="B255" i="1"/>
  <c r="A255" i="1"/>
  <c r="E256" i="1"/>
  <c r="D256" i="1"/>
  <c r="C256" i="1"/>
  <c r="B256" i="1"/>
  <c r="A256" i="1"/>
  <c r="E257" i="1"/>
  <c r="D257" i="1"/>
  <c r="C257" i="1"/>
  <c r="B257" i="1"/>
  <c r="A257" i="1"/>
  <c r="E258" i="1"/>
  <c r="D258" i="1"/>
  <c r="C258" i="1"/>
  <c r="B258" i="1"/>
  <c r="A258" i="1"/>
  <c r="E259" i="1"/>
  <c r="D259" i="1"/>
  <c r="C259" i="1"/>
  <c r="B259" i="1"/>
  <c r="A259" i="1"/>
  <c r="E260" i="1"/>
  <c r="D260" i="1"/>
  <c r="C260" i="1"/>
  <c r="B260" i="1"/>
  <c r="A260" i="1"/>
  <c r="E261" i="1"/>
  <c r="D261" i="1"/>
  <c r="C261" i="1"/>
  <c r="B261" i="1"/>
  <c r="A261" i="1"/>
  <c r="E262" i="1"/>
  <c r="D262" i="1"/>
  <c r="C262" i="1"/>
  <c r="B262" i="1"/>
  <c r="A262" i="1"/>
  <c r="E263" i="1"/>
  <c r="D263" i="1"/>
  <c r="C263" i="1"/>
  <c r="B263" i="1"/>
  <c r="A263" i="1"/>
  <c r="E264" i="1"/>
  <c r="D264" i="1"/>
  <c r="C264" i="1"/>
  <c r="B264" i="1"/>
  <c r="A264" i="1"/>
  <c r="E265" i="1"/>
  <c r="D265" i="1"/>
  <c r="C265" i="1"/>
  <c r="B265" i="1"/>
  <c r="A265" i="1"/>
  <c r="E266" i="1"/>
  <c r="D266" i="1"/>
  <c r="C266" i="1"/>
  <c r="B266" i="1"/>
  <c r="A266" i="1"/>
  <c r="E267" i="1"/>
  <c r="D267" i="1"/>
  <c r="C267" i="1"/>
  <c r="B267" i="1"/>
  <c r="A267" i="1"/>
  <c r="E268" i="1"/>
  <c r="D268" i="1"/>
  <c r="C268" i="1"/>
  <c r="B268" i="1"/>
  <c r="A268" i="1"/>
  <c r="E269" i="1"/>
  <c r="D269" i="1"/>
  <c r="C269" i="1"/>
  <c r="B269" i="1"/>
  <c r="A269" i="1"/>
  <c r="E270" i="1"/>
  <c r="D270" i="1"/>
  <c r="C270" i="1"/>
  <c r="B270" i="1"/>
  <c r="A270" i="1"/>
  <c r="E271" i="1"/>
  <c r="D271" i="1"/>
  <c r="C271" i="1"/>
  <c r="B271" i="1"/>
  <c r="A271" i="1"/>
  <c r="E272" i="1"/>
  <c r="D272" i="1"/>
  <c r="C272" i="1"/>
  <c r="B272" i="1"/>
  <c r="A272" i="1"/>
  <c r="E273" i="1"/>
  <c r="D273" i="1"/>
  <c r="C273" i="1"/>
  <c r="B273" i="1"/>
  <c r="A273" i="1"/>
  <c r="E274" i="1"/>
  <c r="D274" i="1"/>
  <c r="C274" i="1"/>
  <c r="B274" i="1"/>
  <c r="A274" i="1"/>
  <c r="E275" i="1"/>
  <c r="D275" i="1"/>
  <c r="C275" i="1"/>
  <c r="B275" i="1"/>
  <c r="A275" i="1"/>
  <c r="E276" i="1"/>
  <c r="D276" i="1"/>
  <c r="C276" i="1"/>
  <c r="B276" i="1"/>
  <c r="A276" i="1"/>
  <c r="E277" i="1"/>
  <c r="D277" i="1"/>
  <c r="C277" i="1"/>
  <c r="B277" i="1"/>
  <c r="A277" i="1"/>
  <c r="E278" i="1"/>
  <c r="D278" i="1"/>
  <c r="C278" i="1"/>
  <c r="B278" i="1"/>
  <c r="A278" i="1"/>
  <c r="E279" i="1"/>
  <c r="D279" i="1"/>
  <c r="C279" i="1"/>
  <c r="B279" i="1"/>
  <c r="A279" i="1"/>
  <c r="E280" i="1"/>
  <c r="D280" i="1"/>
  <c r="C280" i="1"/>
  <c r="B280" i="1"/>
  <c r="A280" i="1"/>
  <c r="E281" i="1"/>
  <c r="D281" i="1"/>
  <c r="C281" i="1"/>
  <c r="B281" i="1"/>
  <c r="A281" i="1"/>
  <c r="E282" i="1"/>
  <c r="D282" i="1"/>
  <c r="C282" i="1"/>
  <c r="B282" i="1"/>
  <c r="A282" i="1"/>
  <c r="E283" i="1"/>
  <c r="D283" i="1"/>
  <c r="C283" i="1"/>
  <c r="B283" i="1"/>
  <c r="A283" i="1"/>
  <c r="E284" i="1"/>
  <c r="D284" i="1"/>
  <c r="C284" i="1"/>
  <c r="B284" i="1"/>
  <c r="A284" i="1"/>
  <c r="E285" i="1"/>
  <c r="D285" i="1"/>
  <c r="C285" i="1"/>
  <c r="B285" i="1"/>
  <c r="A285" i="1"/>
  <c r="E286" i="1"/>
  <c r="D286" i="1"/>
  <c r="C286" i="1"/>
  <c r="B286" i="1"/>
  <c r="A286" i="1"/>
  <c r="E287" i="1"/>
  <c r="D287" i="1"/>
  <c r="C287" i="1"/>
  <c r="B287" i="1"/>
  <c r="A287" i="1"/>
  <c r="E288" i="1"/>
  <c r="D288" i="1"/>
  <c r="C288" i="1"/>
  <c r="B288" i="1"/>
  <c r="A288" i="1"/>
  <c r="E289" i="1"/>
  <c r="D289" i="1"/>
  <c r="C289" i="1"/>
  <c r="B289" i="1"/>
  <c r="A289" i="1"/>
  <c r="E290" i="1"/>
  <c r="D290" i="1"/>
  <c r="C290" i="1"/>
  <c r="B290" i="1"/>
  <c r="A290" i="1"/>
  <c r="E291" i="1"/>
  <c r="D291" i="1"/>
  <c r="C291" i="1"/>
  <c r="B291" i="1"/>
  <c r="A291" i="1"/>
  <c r="E292" i="1"/>
  <c r="D292" i="1"/>
  <c r="C292" i="1"/>
  <c r="B292" i="1"/>
  <c r="A292" i="1"/>
  <c r="E293" i="1"/>
  <c r="D293" i="1"/>
  <c r="C293" i="1"/>
  <c r="B293" i="1"/>
  <c r="A293" i="1"/>
  <c r="E294" i="1"/>
  <c r="D294" i="1"/>
  <c r="C294" i="1"/>
  <c r="B294" i="1"/>
  <c r="A294" i="1"/>
  <c r="E295" i="1"/>
  <c r="D295" i="1"/>
  <c r="C295" i="1"/>
  <c r="B295" i="1"/>
  <c r="A295" i="1"/>
  <c r="E296" i="1"/>
  <c r="D296" i="1"/>
  <c r="C296" i="1"/>
  <c r="B296" i="1"/>
  <c r="A296" i="1"/>
  <c r="E297" i="1"/>
  <c r="D297" i="1"/>
  <c r="C297" i="1"/>
  <c r="B297" i="1"/>
  <c r="A297" i="1"/>
  <c r="E298" i="1"/>
  <c r="D298" i="1"/>
  <c r="C298" i="1"/>
  <c r="B298" i="1"/>
  <c r="A298" i="1"/>
  <c r="E299" i="1"/>
  <c r="D299" i="1"/>
  <c r="C299" i="1"/>
  <c r="B299" i="1"/>
  <c r="A299" i="1"/>
  <c r="E300" i="1"/>
  <c r="D300" i="1"/>
  <c r="C300" i="1"/>
  <c r="B300" i="1"/>
  <c r="A300" i="1"/>
  <c r="E301" i="1"/>
  <c r="D301" i="1"/>
  <c r="C301" i="1"/>
  <c r="B301" i="1"/>
  <c r="A301" i="1"/>
  <c r="E302" i="1"/>
  <c r="D302" i="1"/>
  <c r="C302" i="1"/>
  <c r="B302" i="1"/>
  <c r="A302" i="1"/>
  <c r="E303" i="1"/>
  <c r="D303" i="1"/>
  <c r="C303" i="1"/>
  <c r="B303" i="1"/>
  <c r="A303" i="1"/>
  <c r="E304" i="1"/>
  <c r="D304" i="1"/>
  <c r="C304" i="1"/>
  <c r="B304" i="1"/>
  <c r="A304" i="1"/>
  <c r="E305" i="1"/>
  <c r="D305" i="1"/>
  <c r="C305" i="1"/>
  <c r="B305" i="1"/>
  <c r="A305" i="1"/>
  <c r="E306" i="1"/>
  <c r="D306" i="1"/>
  <c r="C306" i="1"/>
  <c r="B306" i="1"/>
  <c r="A306" i="1"/>
  <c r="E307" i="1"/>
  <c r="D307" i="1"/>
  <c r="C307" i="1"/>
  <c r="B307" i="1"/>
  <c r="A307" i="1"/>
  <c r="E308" i="1"/>
  <c r="D308" i="1"/>
  <c r="C308" i="1"/>
  <c r="B308" i="1"/>
  <c r="A308" i="1"/>
  <c r="E309" i="1"/>
  <c r="D309" i="1"/>
  <c r="C309" i="1"/>
  <c r="B309" i="1"/>
  <c r="A309" i="1"/>
  <c r="E310" i="1"/>
  <c r="D310" i="1"/>
  <c r="C310" i="1"/>
  <c r="B310" i="1"/>
  <c r="A310" i="1"/>
  <c r="E311" i="1"/>
  <c r="D311" i="1"/>
  <c r="C311" i="1"/>
  <c r="B311" i="1"/>
  <c r="A311" i="1"/>
  <c r="E312" i="1"/>
  <c r="D312" i="1"/>
  <c r="C312" i="1"/>
  <c r="B312" i="1"/>
  <c r="A312" i="1"/>
  <c r="E313" i="1"/>
  <c r="D313" i="1"/>
  <c r="C313" i="1"/>
  <c r="B313" i="1"/>
  <c r="A313" i="1"/>
  <c r="E314" i="1"/>
  <c r="D314" i="1"/>
  <c r="C314" i="1"/>
  <c r="B314" i="1"/>
  <c r="A314" i="1"/>
  <c r="E315" i="1"/>
  <c r="D315" i="1"/>
  <c r="C315" i="1"/>
  <c r="B315" i="1"/>
  <c r="A315" i="1"/>
  <c r="E316" i="1"/>
  <c r="D316" i="1"/>
  <c r="C316" i="1"/>
  <c r="B316" i="1"/>
  <c r="A316" i="1"/>
  <c r="E317" i="1"/>
  <c r="D317" i="1"/>
  <c r="C317" i="1"/>
  <c r="B317" i="1"/>
  <c r="A317" i="1"/>
  <c r="E318" i="1"/>
  <c r="D318" i="1"/>
  <c r="C318" i="1"/>
  <c r="B318" i="1"/>
  <c r="A318" i="1"/>
  <c r="E319" i="1"/>
  <c r="D319" i="1"/>
  <c r="C319" i="1"/>
  <c r="B319" i="1"/>
  <c r="A319" i="1"/>
  <c r="E320" i="1"/>
  <c r="D320" i="1"/>
  <c r="C320" i="1"/>
  <c r="B320" i="1"/>
  <c r="A320" i="1"/>
  <c r="E321" i="1"/>
  <c r="D321" i="1"/>
  <c r="C321" i="1"/>
  <c r="B321" i="1"/>
  <c r="A321" i="1"/>
  <c r="E322" i="1"/>
  <c r="D322" i="1"/>
  <c r="C322" i="1"/>
  <c r="B322" i="1"/>
  <c r="A322" i="1"/>
  <c r="E323" i="1"/>
  <c r="D323" i="1"/>
  <c r="C323" i="1"/>
  <c r="B323" i="1"/>
  <c r="A323" i="1"/>
  <c r="E324" i="1"/>
  <c r="D324" i="1"/>
  <c r="C324" i="1"/>
  <c r="B324" i="1"/>
  <c r="A324" i="1"/>
  <c r="E325" i="1"/>
  <c r="D325" i="1"/>
  <c r="C325" i="1"/>
  <c r="B325" i="1"/>
  <c r="A325" i="1"/>
  <c r="E326" i="1"/>
  <c r="D326" i="1"/>
  <c r="C326" i="1"/>
  <c r="B326" i="1"/>
  <c r="A326" i="1"/>
  <c r="E327" i="1"/>
  <c r="D327" i="1"/>
  <c r="C327" i="1"/>
  <c r="B327" i="1"/>
  <c r="A327" i="1"/>
  <c r="E328" i="1"/>
  <c r="D328" i="1"/>
  <c r="C328" i="1"/>
  <c r="B328" i="1"/>
  <c r="A328" i="1"/>
  <c r="E329" i="1"/>
  <c r="D329" i="1"/>
  <c r="C329" i="1"/>
  <c r="B329" i="1"/>
  <c r="A329" i="1"/>
  <c r="E330" i="1"/>
  <c r="D330" i="1"/>
  <c r="C330" i="1"/>
  <c r="B330" i="1"/>
  <c r="A330" i="1"/>
  <c r="E331" i="1"/>
  <c r="D331" i="1"/>
  <c r="C331" i="1"/>
  <c r="B331" i="1"/>
  <c r="A331" i="1"/>
  <c r="E332" i="1"/>
  <c r="D332" i="1"/>
  <c r="C332" i="1"/>
  <c r="B332" i="1"/>
  <c r="A332" i="1"/>
  <c r="E333" i="1"/>
  <c r="D333" i="1"/>
  <c r="C333" i="1"/>
  <c r="B333" i="1"/>
  <c r="A333" i="1"/>
  <c r="E334" i="1"/>
  <c r="D334" i="1"/>
  <c r="C334" i="1"/>
  <c r="B334" i="1"/>
  <c r="A334" i="1"/>
  <c r="E335" i="1"/>
  <c r="D335" i="1"/>
  <c r="C335" i="1"/>
  <c r="B335" i="1"/>
  <c r="A335" i="1"/>
  <c r="E336" i="1"/>
  <c r="D336" i="1"/>
  <c r="C336" i="1"/>
  <c r="B336" i="1"/>
  <c r="A336" i="1"/>
  <c r="E337" i="1"/>
  <c r="D337" i="1"/>
  <c r="C337" i="1"/>
  <c r="B337" i="1"/>
  <c r="A337" i="1"/>
  <c r="E338" i="1"/>
  <c r="D338" i="1"/>
  <c r="C338" i="1"/>
  <c r="B338" i="1"/>
  <c r="A338" i="1"/>
  <c r="E339" i="1"/>
  <c r="D339" i="1"/>
  <c r="C339" i="1"/>
  <c r="B339" i="1"/>
  <c r="A339" i="1"/>
  <c r="E340" i="1"/>
  <c r="D340" i="1"/>
  <c r="C340" i="1"/>
  <c r="B340" i="1"/>
  <c r="A340" i="1"/>
  <c r="E341" i="1"/>
  <c r="D341" i="1"/>
  <c r="C341" i="1"/>
  <c r="B341" i="1"/>
  <c r="A341" i="1"/>
  <c r="E342" i="1"/>
  <c r="D342" i="1"/>
  <c r="C342" i="1"/>
  <c r="B342" i="1"/>
  <c r="A342" i="1"/>
  <c r="E343" i="1"/>
  <c r="D343" i="1"/>
  <c r="C343" i="1"/>
  <c r="B343" i="1"/>
  <c r="A343" i="1"/>
  <c r="E344" i="1"/>
  <c r="D344" i="1"/>
  <c r="C344" i="1"/>
  <c r="B344" i="1"/>
  <c r="A344" i="1"/>
  <c r="E345" i="1"/>
  <c r="D345" i="1"/>
  <c r="C345" i="1"/>
  <c r="B345" i="1"/>
  <c r="A345" i="1"/>
  <c r="E346" i="1"/>
  <c r="D346" i="1"/>
  <c r="C346" i="1"/>
  <c r="B346" i="1"/>
  <c r="A346" i="1"/>
  <c r="E347" i="1"/>
  <c r="D347" i="1"/>
  <c r="C347" i="1"/>
  <c r="B347" i="1"/>
  <c r="A347" i="1"/>
  <c r="E348" i="1"/>
  <c r="D348" i="1"/>
  <c r="C348" i="1"/>
  <c r="B348" i="1"/>
  <c r="A348" i="1"/>
  <c r="E349" i="1"/>
  <c r="D349" i="1"/>
  <c r="C349" i="1"/>
  <c r="B349" i="1"/>
  <c r="A349" i="1"/>
  <c r="E350" i="1"/>
  <c r="D350" i="1"/>
  <c r="C350" i="1"/>
  <c r="B350" i="1"/>
  <c r="A350" i="1"/>
  <c r="E351" i="1"/>
  <c r="D351" i="1"/>
  <c r="C351" i="1"/>
  <c r="B351" i="1"/>
  <c r="A351" i="1"/>
  <c r="E352" i="1"/>
  <c r="D352" i="1"/>
  <c r="C352" i="1"/>
  <c r="B352" i="1"/>
  <c r="A352" i="1"/>
  <c r="E353" i="1"/>
  <c r="D353" i="1"/>
  <c r="C353" i="1"/>
  <c r="B353" i="1"/>
  <c r="A353" i="1"/>
  <c r="E354" i="1"/>
  <c r="D354" i="1"/>
  <c r="C354" i="1"/>
  <c r="B354" i="1"/>
  <c r="A354" i="1"/>
  <c r="E355" i="1"/>
  <c r="D355" i="1"/>
  <c r="C355" i="1"/>
  <c r="B355" i="1"/>
  <c r="A355" i="1"/>
  <c r="E356" i="1"/>
  <c r="D356" i="1"/>
  <c r="C356" i="1"/>
  <c r="B356" i="1"/>
  <c r="A356" i="1"/>
  <c r="E357" i="1"/>
  <c r="D357" i="1"/>
  <c r="C357" i="1"/>
  <c r="B357" i="1"/>
  <c r="A357" i="1"/>
  <c r="E358" i="1"/>
  <c r="D358" i="1"/>
  <c r="C358" i="1"/>
  <c r="B358" i="1"/>
  <c r="A358" i="1"/>
  <c r="E359" i="1"/>
  <c r="D359" i="1"/>
  <c r="C359" i="1"/>
  <c r="B359" i="1"/>
  <c r="A359" i="1"/>
  <c r="E360" i="1"/>
  <c r="D360" i="1"/>
  <c r="C360" i="1"/>
  <c r="B360" i="1"/>
  <c r="A360" i="1"/>
  <c r="E361" i="1"/>
  <c r="D361" i="1"/>
  <c r="C361" i="1"/>
  <c r="B361" i="1"/>
  <c r="A361" i="1"/>
  <c r="E362" i="1"/>
  <c r="D362" i="1"/>
  <c r="C362" i="1"/>
  <c r="B362" i="1"/>
  <c r="A362" i="1"/>
  <c r="E363" i="1"/>
  <c r="D363" i="1"/>
  <c r="C363" i="1"/>
  <c r="B363" i="1"/>
  <c r="A363" i="1"/>
  <c r="E364" i="1"/>
  <c r="D364" i="1"/>
  <c r="C364" i="1"/>
  <c r="B364" i="1"/>
  <c r="A364" i="1"/>
  <c r="E365" i="1"/>
  <c r="D365" i="1"/>
  <c r="C365" i="1"/>
  <c r="B365" i="1"/>
  <c r="A365" i="1"/>
  <c r="E366" i="1"/>
  <c r="D366" i="1"/>
  <c r="C366" i="1"/>
  <c r="B366" i="1"/>
  <c r="A366" i="1"/>
  <c r="E367" i="1"/>
  <c r="D367" i="1"/>
  <c r="C367" i="1"/>
  <c r="B367" i="1"/>
  <c r="A367" i="1"/>
  <c r="E368" i="1"/>
  <c r="D368" i="1"/>
  <c r="C368" i="1"/>
  <c r="B368" i="1"/>
  <c r="A368" i="1"/>
  <c r="E369" i="1"/>
  <c r="D369" i="1"/>
  <c r="C369" i="1"/>
  <c r="B369" i="1"/>
  <c r="A369" i="1"/>
  <c r="E370" i="1"/>
  <c r="D370" i="1"/>
  <c r="C370" i="1"/>
  <c r="B370" i="1"/>
  <c r="A370" i="1"/>
  <c r="E371" i="1"/>
  <c r="D371" i="1"/>
  <c r="C371" i="1"/>
  <c r="B371" i="1"/>
  <c r="A371" i="1"/>
  <c r="E372" i="1"/>
  <c r="D372" i="1"/>
  <c r="C372" i="1"/>
  <c r="B372" i="1"/>
  <c r="A372" i="1"/>
  <c r="E373" i="1"/>
  <c r="D373" i="1"/>
  <c r="C373" i="1"/>
  <c r="B373" i="1"/>
  <c r="A373" i="1"/>
  <c r="E374" i="1"/>
  <c r="D374" i="1"/>
  <c r="C374" i="1"/>
  <c r="B374" i="1"/>
  <c r="A374" i="1"/>
  <c r="E375" i="1"/>
  <c r="D375" i="1"/>
  <c r="C375" i="1"/>
  <c r="B375" i="1"/>
  <c r="A375" i="1"/>
  <c r="E376" i="1"/>
  <c r="D376" i="1"/>
  <c r="C376" i="1"/>
  <c r="B376" i="1"/>
  <c r="A376" i="1"/>
  <c r="E377" i="1"/>
  <c r="D377" i="1"/>
  <c r="C377" i="1"/>
  <c r="B377" i="1"/>
  <c r="A377" i="1"/>
  <c r="E378" i="1"/>
  <c r="D378" i="1"/>
  <c r="C378" i="1"/>
  <c r="B378" i="1"/>
  <c r="A378" i="1"/>
  <c r="E379" i="1"/>
  <c r="D379" i="1"/>
  <c r="C379" i="1"/>
  <c r="B379" i="1"/>
  <c r="A379" i="1"/>
  <c r="E380" i="1"/>
  <c r="D380" i="1"/>
  <c r="C380" i="1"/>
  <c r="B380" i="1"/>
  <c r="A380" i="1"/>
  <c r="E381" i="1"/>
  <c r="D381" i="1"/>
  <c r="C381" i="1"/>
  <c r="B381" i="1"/>
  <c r="A381" i="1"/>
  <c r="E382" i="1"/>
  <c r="D382" i="1"/>
  <c r="C382" i="1"/>
  <c r="B382" i="1"/>
  <c r="A382" i="1"/>
  <c r="E383" i="1"/>
  <c r="D383" i="1"/>
  <c r="C383" i="1"/>
  <c r="B383" i="1"/>
  <c r="A383" i="1"/>
  <c r="E384" i="1"/>
  <c r="D384" i="1"/>
  <c r="C384" i="1"/>
  <c r="B384" i="1"/>
  <c r="A384" i="1"/>
  <c r="E385" i="1"/>
  <c r="D385" i="1"/>
  <c r="C385" i="1"/>
  <c r="B385" i="1"/>
  <c r="A385" i="1"/>
  <c r="E386" i="1"/>
  <c r="D386" i="1"/>
  <c r="C386" i="1"/>
  <c r="B386" i="1"/>
  <c r="A386" i="1"/>
  <c r="E387" i="1"/>
  <c r="D387" i="1"/>
  <c r="C387" i="1"/>
  <c r="B387" i="1"/>
  <c r="A387" i="1"/>
  <c r="E388" i="1"/>
  <c r="D388" i="1"/>
  <c r="C388" i="1"/>
  <c r="B388" i="1"/>
  <c r="A388" i="1"/>
  <c r="E389" i="1"/>
  <c r="D389" i="1"/>
  <c r="C389" i="1"/>
  <c r="B389" i="1"/>
  <c r="A389" i="1"/>
  <c r="E390" i="1"/>
  <c r="D390" i="1"/>
  <c r="C390" i="1"/>
  <c r="B390" i="1"/>
  <c r="A390" i="1"/>
  <c r="E391" i="1"/>
  <c r="D391" i="1"/>
  <c r="C391" i="1"/>
  <c r="B391" i="1"/>
  <c r="A391" i="1"/>
  <c r="E392" i="1"/>
  <c r="D392" i="1"/>
  <c r="C392" i="1"/>
  <c r="B392" i="1"/>
  <c r="A392" i="1"/>
  <c r="E393" i="1"/>
  <c r="D393" i="1"/>
  <c r="C393" i="1"/>
  <c r="B393" i="1"/>
  <c r="A393" i="1"/>
  <c r="E394" i="1"/>
  <c r="D394" i="1"/>
  <c r="C394" i="1"/>
  <c r="B394" i="1"/>
  <c r="A394" i="1"/>
  <c r="E395" i="1"/>
  <c r="D395" i="1"/>
  <c r="C395" i="1"/>
  <c r="B395" i="1"/>
  <c r="A395" i="1"/>
  <c r="E396" i="1"/>
  <c r="D396" i="1"/>
  <c r="C396" i="1"/>
  <c r="B396" i="1"/>
  <c r="A396" i="1"/>
  <c r="E397" i="1"/>
  <c r="D397" i="1"/>
  <c r="C397" i="1"/>
  <c r="B397" i="1"/>
  <c r="A397" i="1"/>
  <c r="E398" i="1"/>
  <c r="D398" i="1"/>
  <c r="C398" i="1"/>
  <c r="B398" i="1"/>
  <c r="A398" i="1"/>
  <c r="E399" i="1"/>
  <c r="D399" i="1"/>
  <c r="C399" i="1"/>
  <c r="B399" i="1"/>
  <c r="A399" i="1"/>
  <c r="E400" i="1"/>
  <c r="D400" i="1"/>
  <c r="C400" i="1"/>
  <c r="B400" i="1"/>
  <c r="A400" i="1"/>
  <c r="E401" i="1"/>
  <c r="D401" i="1"/>
  <c r="C401" i="1"/>
  <c r="B401" i="1"/>
  <c r="A401" i="1"/>
  <c r="E402" i="1"/>
  <c r="D402" i="1"/>
  <c r="C402" i="1"/>
  <c r="B402" i="1"/>
  <c r="A402" i="1"/>
  <c r="E403" i="1"/>
  <c r="D403" i="1"/>
  <c r="C403" i="1"/>
  <c r="B403" i="1"/>
  <c r="A403" i="1"/>
  <c r="E404" i="1"/>
  <c r="D404" i="1"/>
  <c r="C404" i="1"/>
  <c r="B404" i="1"/>
  <c r="A404" i="1"/>
  <c r="E405" i="1"/>
  <c r="D405" i="1"/>
  <c r="C405" i="1"/>
  <c r="B405" i="1"/>
  <c r="A405" i="1"/>
  <c r="E406" i="1"/>
  <c r="D406" i="1"/>
  <c r="C406" i="1"/>
  <c r="B406" i="1"/>
  <c r="A406" i="1"/>
  <c r="E407" i="1"/>
  <c r="D407" i="1"/>
  <c r="C407" i="1"/>
  <c r="B407" i="1"/>
  <c r="A407" i="1"/>
  <c r="E408" i="1"/>
  <c r="D408" i="1"/>
  <c r="C408" i="1"/>
  <c r="B408" i="1"/>
  <c r="A408" i="1"/>
  <c r="E409" i="1"/>
  <c r="D409" i="1"/>
  <c r="C409" i="1"/>
  <c r="B409" i="1"/>
  <c r="A409" i="1"/>
  <c r="E410" i="1"/>
  <c r="D410" i="1"/>
  <c r="C410" i="1"/>
  <c r="B410" i="1"/>
  <c r="A410" i="1"/>
  <c r="E411" i="1"/>
  <c r="D411" i="1"/>
  <c r="C411" i="1"/>
  <c r="B411" i="1"/>
  <c r="A411" i="1"/>
  <c r="E412" i="1"/>
  <c r="D412" i="1"/>
  <c r="C412" i="1"/>
  <c r="B412" i="1"/>
  <c r="A412" i="1"/>
  <c r="E413" i="1"/>
  <c r="D413" i="1"/>
  <c r="C413" i="1"/>
  <c r="B413" i="1"/>
  <c r="A413" i="1"/>
  <c r="E414" i="1"/>
  <c r="D414" i="1"/>
  <c r="C414" i="1"/>
  <c r="B414" i="1"/>
  <c r="A414" i="1"/>
  <c r="E415" i="1"/>
  <c r="D415" i="1"/>
  <c r="C415" i="1"/>
  <c r="B415" i="1"/>
  <c r="A415" i="1"/>
  <c r="E416" i="1"/>
  <c r="D416" i="1"/>
  <c r="C416" i="1"/>
  <c r="B416" i="1"/>
  <c r="A416" i="1"/>
  <c r="E417" i="1"/>
  <c r="D417" i="1"/>
  <c r="C417" i="1"/>
  <c r="B417" i="1"/>
  <c r="A417" i="1"/>
  <c r="E418" i="1"/>
  <c r="D418" i="1"/>
  <c r="C418" i="1"/>
  <c r="B418" i="1"/>
  <c r="A418" i="1"/>
  <c r="E419" i="1"/>
  <c r="D419" i="1"/>
  <c r="C419" i="1"/>
  <c r="B419" i="1"/>
  <c r="A419" i="1"/>
  <c r="E420" i="1"/>
  <c r="D420" i="1"/>
  <c r="C420" i="1"/>
  <c r="B420" i="1"/>
  <c r="A420" i="1"/>
  <c r="E421" i="1"/>
  <c r="D421" i="1"/>
  <c r="C421" i="1"/>
  <c r="B421" i="1"/>
  <c r="A421" i="1"/>
  <c r="E422" i="1"/>
  <c r="D422" i="1"/>
  <c r="C422" i="1"/>
  <c r="B422" i="1"/>
  <c r="A422" i="1"/>
  <c r="E423" i="1"/>
  <c r="D423" i="1"/>
  <c r="C423" i="1"/>
  <c r="B423" i="1"/>
  <c r="A423" i="1"/>
  <c r="E424" i="1"/>
  <c r="D424" i="1"/>
  <c r="C424" i="1"/>
  <c r="B424" i="1"/>
  <c r="A424" i="1"/>
  <c r="E425" i="1"/>
  <c r="D425" i="1"/>
  <c r="C425" i="1"/>
  <c r="B425" i="1"/>
  <c r="A425" i="1"/>
  <c r="E426" i="1"/>
  <c r="D426" i="1"/>
  <c r="C426" i="1"/>
  <c r="B426" i="1"/>
  <c r="A426" i="1"/>
  <c r="E427" i="1"/>
  <c r="D427" i="1"/>
  <c r="C427" i="1"/>
  <c r="B427" i="1"/>
  <c r="A427" i="1"/>
  <c r="E428" i="1"/>
  <c r="D428" i="1"/>
  <c r="C428" i="1"/>
  <c r="B428" i="1"/>
  <c r="A428" i="1"/>
  <c r="E429" i="1"/>
  <c r="D429" i="1"/>
  <c r="C429" i="1"/>
  <c r="B429" i="1"/>
  <c r="A429" i="1"/>
  <c r="E430" i="1"/>
  <c r="D430" i="1"/>
  <c r="C430" i="1"/>
  <c r="B430" i="1"/>
  <c r="A430" i="1"/>
  <c r="E431" i="1"/>
  <c r="D431" i="1"/>
  <c r="C431" i="1"/>
  <c r="B431" i="1"/>
  <c r="A431" i="1"/>
  <c r="E432" i="1"/>
  <c r="D432" i="1"/>
  <c r="C432" i="1"/>
  <c r="B432" i="1"/>
  <c r="A432" i="1"/>
  <c r="E433" i="1"/>
  <c r="D433" i="1"/>
  <c r="C433" i="1"/>
  <c r="B433" i="1"/>
  <c r="A433" i="1"/>
  <c r="E434" i="1"/>
  <c r="D434" i="1"/>
  <c r="C434" i="1"/>
  <c r="B434" i="1"/>
  <c r="A434" i="1"/>
  <c r="E435" i="1"/>
  <c r="D435" i="1"/>
  <c r="C435" i="1"/>
  <c r="B435" i="1"/>
  <c r="A435" i="1"/>
  <c r="E436" i="1"/>
  <c r="D436" i="1"/>
  <c r="C436" i="1"/>
  <c r="B436" i="1"/>
  <c r="A436" i="1"/>
  <c r="E437" i="1"/>
  <c r="D437" i="1"/>
  <c r="C437" i="1"/>
  <c r="B437" i="1"/>
  <c r="A437" i="1"/>
  <c r="E438" i="1"/>
  <c r="D438" i="1"/>
  <c r="C438" i="1"/>
  <c r="B438" i="1"/>
  <c r="A438" i="1"/>
  <c r="E439" i="1"/>
  <c r="D439" i="1"/>
  <c r="C439" i="1"/>
  <c r="B439" i="1"/>
  <c r="A439" i="1"/>
  <c r="E440" i="1"/>
  <c r="D440" i="1"/>
  <c r="C440" i="1"/>
  <c r="B440" i="1"/>
  <c r="A440" i="1"/>
  <c r="E441" i="1"/>
  <c r="D441" i="1"/>
  <c r="C441" i="1"/>
  <c r="B441" i="1"/>
  <c r="A441" i="1"/>
  <c r="E442" i="1"/>
  <c r="D442" i="1"/>
  <c r="C442" i="1"/>
  <c r="B442" i="1"/>
  <c r="A442" i="1"/>
  <c r="E443" i="1"/>
  <c r="D443" i="1"/>
  <c r="C443" i="1"/>
  <c r="B443" i="1"/>
  <c r="A443" i="1"/>
  <c r="E444" i="1"/>
  <c r="D444" i="1"/>
  <c r="C444" i="1"/>
  <c r="B444" i="1"/>
  <c r="A444" i="1"/>
  <c r="E445" i="1"/>
  <c r="D445" i="1"/>
  <c r="C445" i="1"/>
  <c r="B445" i="1"/>
  <c r="A445" i="1"/>
  <c r="E446" i="1"/>
  <c r="D446" i="1"/>
  <c r="C446" i="1"/>
  <c r="B446" i="1"/>
  <c r="A446" i="1"/>
  <c r="E447" i="1"/>
  <c r="D447" i="1"/>
  <c r="C447" i="1"/>
  <c r="B447" i="1"/>
  <c r="A447" i="1"/>
  <c r="E448" i="1"/>
  <c r="D448" i="1"/>
  <c r="C448" i="1"/>
  <c r="B448" i="1"/>
  <c r="A448" i="1"/>
  <c r="E449" i="1"/>
  <c r="D449" i="1"/>
  <c r="C449" i="1"/>
  <c r="B449" i="1"/>
  <c r="A449" i="1"/>
  <c r="E450" i="1"/>
  <c r="D450" i="1"/>
  <c r="C450" i="1"/>
  <c r="B450" i="1"/>
  <c r="A450" i="1"/>
  <c r="E451" i="1"/>
  <c r="D451" i="1"/>
  <c r="C451" i="1"/>
  <c r="B451" i="1"/>
  <c r="A451" i="1"/>
  <c r="E452" i="1"/>
  <c r="D452" i="1"/>
  <c r="C452" i="1"/>
  <c r="B452" i="1"/>
  <c r="A452" i="1"/>
  <c r="E453" i="1"/>
  <c r="D453" i="1"/>
  <c r="C453" i="1"/>
  <c r="B453" i="1"/>
  <c r="A453" i="1"/>
  <c r="E454" i="1"/>
  <c r="D454" i="1"/>
  <c r="C454" i="1"/>
  <c r="B454" i="1"/>
  <c r="A454" i="1"/>
  <c r="E455" i="1"/>
  <c r="D455" i="1"/>
  <c r="C455" i="1"/>
  <c r="B455" i="1"/>
  <c r="A455" i="1"/>
  <c r="E456" i="1"/>
  <c r="D456" i="1"/>
  <c r="C456" i="1"/>
  <c r="B456" i="1"/>
  <c r="A456" i="1"/>
  <c r="E457" i="1"/>
  <c r="D457" i="1"/>
  <c r="C457" i="1"/>
  <c r="B457" i="1"/>
  <c r="A457" i="1"/>
  <c r="E458" i="1"/>
  <c r="D458" i="1"/>
  <c r="C458" i="1"/>
  <c r="B458" i="1"/>
  <c r="A458" i="1"/>
  <c r="E459" i="1"/>
  <c r="D459" i="1"/>
  <c r="C459" i="1"/>
  <c r="B459" i="1"/>
  <c r="A459" i="1"/>
  <c r="E460" i="1"/>
  <c r="D460" i="1"/>
  <c r="C460" i="1"/>
  <c r="B460" i="1"/>
  <c r="A460" i="1"/>
  <c r="E461" i="1"/>
  <c r="D461" i="1"/>
  <c r="C461" i="1"/>
  <c r="B461" i="1"/>
  <c r="A461" i="1"/>
  <c r="E462" i="1"/>
  <c r="D462" i="1"/>
  <c r="C462" i="1"/>
  <c r="B462" i="1"/>
  <c r="A462" i="1"/>
  <c r="E463" i="1"/>
  <c r="D463" i="1"/>
  <c r="C463" i="1"/>
  <c r="B463" i="1"/>
  <c r="A463" i="1"/>
  <c r="E464" i="1"/>
  <c r="D464" i="1"/>
  <c r="C464" i="1"/>
  <c r="B464" i="1"/>
  <c r="A464" i="1"/>
  <c r="E465" i="1"/>
  <c r="D465" i="1"/>
  <c r="C465" i="1"/>
  <c r="B465" i="1"/>
  <c r="A465" i="1"/>
  <c r="E466" i="1"/>
  <c r="D466" i="1"/>
  <c r="C466" i="1"/>
  <c r="B466" i="1"/>
  <c r="A466" i="1"/>
  <c r="E467" i="1"/>
  <c r="D467" i="1"/>
  <c r="C467" i="1"/>
  <c r="B467" i="1"/>
  <c r="A467" i="1"/>
  <c r="E468" i="1"/>
  <c r="D468" i="1"/>
  <c r="C468" i="1"/>
  <c r="B468" i="1"/>
  <c r="A468" i="1"/>
  <c r="E469" i="1"/>
  <c r="D469" i="1"/>
  <c r="C469" i="1"/>
  <c r="B469" i="1"/>
  <c r="A469" i="1"/>
  <c r="E470" i="1"/>
  <c r="D470" i="1"/>
  <c r="C470" i="1"/>
  <c r="B470" i="1"/>
  <c r="A470" i="1"/>
  <c r="E471" i="1"/>
  <c r="D471" i="1"/>
  <c r="C471" i="1"/>
  <c r="B471" i="1"/>
  <c r="A471" i="1"/>
  <c r="E472" i="1"/>
  <c r="D472" i="1"/>
  <c r="C472" i="1"/>
  <c r="B472" i="1"/>
  <c r="A472" i="1"/>
  <c r="E473" i="1"/>
  <c r="D473" i="1"/>
  <c r="C473" i="1"/>
  <c r="B473" i="1"/>
  <c r="A473" i="1"/>
  <c r="E474" i="1"/>
  <c r="D474" i="1"/>
  <c r="C474" i="1"/>
  <c r="B474" i="1"/>
  <c r="A474" i="1"/>
  <c r="E475" i="1"/>
  <c r="D475" i="1"/>
  <c r="C475" i="1"/>
  <c r="B475" i="1"/>
  <c r="A475" i="1"/>
  <c r="E476" i="1"/>
  <c r="D476" i="1"/>
  <c r="C476" i="1"/>
  <c r="B476" i="1"/>
  <c r="A476" i="1"/>
  <c r="E477" i="1"/>
  <c r="D477" i="1"/>
  <c r="C477" i="1"/>
  <c r="B477" i="1"/>
  <c r="A477" i="1"/>
  <c r="E478" i="1"/>
  <c r="D478" i="1"/>
  <c r="C478" i="1"/>
  <c r="B478" i="1"/>
  <c r="A478" i="1"/>
  <c r="E479" i="1"/>
  <c r="D479" i="1"/>
  <c r="C479" i="1"/>
  <c r="B479" i="1"/>
  <c r="A479" i="1"/>
  <c r="E480" i="1"/>
  <c r="D480" i="1"/>
  <c r="C480" i="1"/>
  <c r="B480" i="1"/>
  <c r="A480" i="1"/>
  <c r="E481" i="1"/>
  <c r="D481" i="1"/>
  <c r="C481" i="1"/>
  <c r="B481" i="1"/>
  <c r="A481" i="1"/>
  <c r="E482" i="1"/>
  <c r="D482" i="1"/>
  <c r="C482" i="1"/>
  <c r="B482" i="1"/>
  <c r="A482" i="1"/>
  <c r="E483" i="1"/>
  <c r="D483" i="1"/>
  <c r="C483" i="1"/>
  <c r="B483" i="1"/>
  <c r="A483" i="1"/>
  <c r="E484" i="1"/>
  <c r="D484" i="1"/>
  <c r="C484" i="1"/>
  <c r="B484" i="1"/>
  <c r="A484" i="1"/>
  <c r="E485" i="1"/>
  <c r="D485" i="1"/>
  <c r="C485" i="1"/>
  <c r="B485" i="1"/>
  <c r="A485" i="1"/>
  <c r="E486" i="1"/>
  <c r="D486" i="1"/>
  <c r="C486" i="1"/>
  <c r="B486" i="1"/>
  <c r="A486" i="1"/>
  <c r="E487" i="1"/>
  <c r="D487" i="1"/>
  <c r="C487" i="1"/>
  <c r="B487" i="1"/>
  <c r="A487" i="1"/>
  <c r="E488" i="1"/>
  <c r="D488" i="1"/>
  <c r="C488" i="1"/>
  <c r="B488" i="1"/>
  <c r="A488" i="1"/>
  <c r="E489" i="1"/>
  <c r="D489" i="1"/>
  <c r="C489" i="1"/>
  <c r="B489" i="1"/>
  <c r="A489" i="1"/>
  <c r="E490" i="1"/>
  <c r="D490" i="1"/>
  <c r="C490" i="1"/>
  <c r="B490" i="1"/>
  <c r="A490" i="1"/>
  <c r="E491" i="1"/>
  <c r="D491" i="1"/>
  <c r="C491" i="1"/>
  <c r="B491" i="1"/>
  <c r="A491" i="1"/>
  <c r="E492" i="1"/>
  <c r="D492" i="1"/>
  <c r="C492" i="1"/>
  <c r="B492" i="1"/>
  <c r="A492" i="1"/>
  <c r="E493" i="1"/>
  <c r="D493" i="1"/>
  <c r="C493" i="1"/>
  <c r="B493" i="1"/>
  <c r="A493" i="1"/>
  <c r="E494" i="1"/>
  <c r="D494" i="1"/>
  <c r="C494" i="1"/>
  <c r="B494" i="1"/>
  <c r="A494" i="1"/>
  <c r="E495" i="1"/>
  <c r="D495" i="1"/>
  <c r="C495" i="1"/>
  <c r="B495" i="1"/>
  <c r="A495" i="1"/>
  <c r="E496" i="1"/>
  <c r="D496" i="1"/>
  <c r="C496" i="1"/>
  <c r="B496" i="1"/>
  <c r="A496" i="1"/>
  <c r="E497" i="1"/>
  <c r="D497" i="1"/>
  <c r="C497" i="1"/>
  <c r="B497" i="1"/>
  <c r="A497" i="1"/>
  <c r="E498" i="1"/>
  <c r="D498" i="1"/>
  <c r="C498" i="1"/>
  <c r="B498" i="1"/>
  <c r="A498" i="1"/>
  <c r="E499" i="1"/>
  <c r="D499" i="1"/>
  <c r="C499" i="1"/>
  <c r="B499" i="1"/>
  <c r="A499" i="1"/>
  <c r="E500" i="1"/>
  <c r="D500" i="1"/>
  <c r="C500" i="1"/>
  <c r="B500" i="1"/>
  <c r="A500" i="1"/>
  <c r="E501" i="1"/>
  <c r="D501" i="1"/>
  <c r="C501" i="1"/>
  <c r="B501" i="1"/>
  <c r="A501" i="1"/>
  <c r="E502" i="1"/>
  <c r="D502" i="1"/>
  <c r="C502" i="1"/>
  <c r="B502" i="1"/>
  <c r="A502" i="1"/>
  <c r="E503" i="1"/>
  <c r="D503" i="1"/>
  <c r="C503" i="1"/>
  <c r="B503" i="1"/>
  <c r="A503" i="1"/>
  <c r="E504" i="1"/>
  <c r="D504" i="1"/>
  <c r="C504" i="1"/>
  <c r="B504" i="1"/>
  <c r="A504" i="1"/>
  <c r="E505" i="1"/>
  <c r="D505" i="1"/>
  <c r="C505" i="1"/>
  <c r="B505" i="1"/>
  <c r="A505" i="1"/>
  <c r="E506" i="1"/>
  <c r="D506" i="1"/>
  <c r="C506" i="1"/>
  <c r="B506" i="1"/>
  <c r="A506" i="1"/>
  <c r="E507" i="1"/>
  <c r="D507" i="1"/>
  <c r="C507" i="1"/>
  <c r="B507" i="1"/>
  <c r="A507" i="1"/>
  <c r="E508" i="1"/>
  <c r="D508" i="1"/>
  <c r="C508" i="1"/>
  <c r="B508" i="1"/>
  <c r="A508" i="1"/>
  <c r="E509" i="1"/>
  <c r="D509" i="1"/>
  <c r="C509" i="1"/>
  <c r="B509" i="1"/>
  <c r="A509" i="1"/>
  <c r="E510" i="1"/>
  <c r="D510" i="1"/>
  <c r="C510" i="1"/>
  <c r="B510" i="1"/>
  <c r="A510" i="1"/>
  <c r="E511" i="1"/>
  <c r="D511" i="1"/>
  <c r="C511" i="1"/>
  <c r="B511" i="1"/>
  <c r="A511" i="1"/>
  <c r="E512" i="1"/>
  <c r="D512" i="1"/>
  <c r="C512" i="1"/>
  <c r="B512" i="1"/>
  <c r="A512" i="1"/>
  <c r="E513" i="1"/>
  <c r="D513" i="1"/>
  <c r="C513" i="1"/>
  <c r="B513" i="1"/>
  <c r="A513" i="1"/>
  <c r="E514" i="1"/>
  <c r="D514" i="1"/>
  <c r="C514" i="1"/>
  <c r="B514" i="1"/>
  <c r="A514" i="1"/>
  <c r="E515" i="1"/>
  <c r="D515" i="1"/>
  <c r="C515" i="1"/>
  <c r="B515" i="1"/>
  <c r="A515" i="1"/>
  <c r="E516" i="1"/>
  <c r="D516" i="1"/>
  <c r="C516" i="1"/>
  <c r="B516" i="1"/>
  <c r="A516" i="1"/>
  <c r="E517" i="1"/>
  <c r="D517" i="1"/>
  <c r="C517" i="1"/>
  <c r="B517" i="1"/>
  <c r="A517" i="1"/>
  <c r="E518" i="1"/>
  <c r="D518" i="1"/>
  <c r="C518" i="1"/>
  <c r="B518" i="1"/>
  <c r="A518" i="1"/>
  <c r="E519" i="1"/>
  <c r="D519" i="1"/>
  <c r="C519" i="1"/>
  <c r="B519" i="1"/>
  <c r="A519" i="1"/>
  <c r="E520" i="1"/>
  <c r="D520" i="1"/>
  <c r="C520" i="1"/>
  <c r="B520" i="1"/>
  <c r="A520" i="1"/>
  <c r="E521" i="1"/>
  <c r="D521" i="1"/>
  <c r="C521" i="1"/>
  <c r="B521" i="1"/>
  <c r="A521" i="1"/>
  <c r="E522" i="1"/>
  <c r="D522" i="1"/>
  <c r="C522" i="1"/>
  <c r="B522" i="1"/>
  <c r="A522" i="1"/>
  <c r="E523" i="1"/>
  <c r="D523" i="1"/>
  <c r="C523" i="1"/>
  <c r="B523" i="1"/>
  <c r="A523" i="1"/>
  <c r="E524" i="1"/>
  <c r="D524" i="1"/>
  <c r="C524" i="1"/>
  <c r="B524" i="1"/>
  <c r="A524" i="1"/>
  <c r="E525" i="1"/>
  <c r="D525" i="1"/>
  <c r="C525" i="1"/>
  <c r="B525" i="1"/>
  <c r="A525" i="1"/>
  <c r="E526" i="1"/>
  <c r="D526" i="1"/>
  <c r="C526" i="1"/>
  <c r="B526" i="1"/>
  <c r="A526" i="1"/>
  <c r="E527" i="1"/>
  <c r="D527" i="1"/>
  <c r="C527" i="1"/>
  <c r="B527" i="1"/>
  <c r="A527" i="1"/>
  <c r="E528" i="1"/>
  <c r="D528" i="1"/>
  <c r="C528" i="1"/>
  <c r="B528" i="1"/>
  <c r="A528" i="1"/>
  <c r="E529" i="1"/>
  <c r="D529" i="1"/>
  <c r="C529" i="1"/>
  <c r="B529" i="1"/>
  <c r="A529" i="1"/>
  <c r="E530" i="1"/>
  <c r="D530" i="1"/>
  <c r="C530" i="1"/>
  <c r="B530" i="1"/>
  <c r="A530" i="1"/>
  <c r="E531" i="1"/>
  <c r="D531" i="1"/>
  <c r="C531" i="1"/>
  <c r="B531" i="1"/>
  <c r="A531" i="1"/>
  <c r="E532" i="1"/>
  <c r="D532" i="1"/>
  <c r="C532" i="1"/>
  <c r="B532" i="1"/>
  <c r="A532" i="1"/>
  <c r="E533" i="1"/>
  <c r="D533" i="1"/>
  <c r="C533" i="1"/>
  <c r="B533" i="1"/>
  <c r="A533" i="1"/>
  <c r="E534" i="1"/>
  <c r="D534" i="1"/>
  <c r="C534" i="1"/>
  <c r="B534" i="1"/>
  <c r="A534" i="1"/>
  <c r="E535" i="1"/>
  <c r="D535" i="1"/>
  <c r="C535" i="1"/>
  <c r="B535" i="1"/>
  <c r="A535" i="1"/>
  <c r="E536" i="1"/>
  <c r="D536" i="1"/>
  <c r="C536" i="1"/>
  <c r="B536" i="1"/>
  <c r="A536" i="1"/>
  <c r="E537" i="1"/>
  <c r="D537" i="1"/>
  <c r="C537" i="1"/>
  <c r="B537" i="1"/>
  <c r="A537" i="1"/>
  <c r="E538" i="1"/>
  <c r="D538" i="1"/>
  <c r="C538" i="1"/>
  <c r="B538" i="1"/>
  <c r="A538" i="1"/>
  <c r="E539" i="1"/>
  <c r="D539" i="1"/>
  <c r="C539" i="1"/>
  <c r="B539" i="1"/>
  <c r="A539" i="1"/>
  <c r="E540" i="1"/>
  <c r="D540" i="1"/>
  <c r="C540" i="1"/>
  <c r="B540" i="1"/>
  <c r="A540" i="1"/>
  <c r="E541" i="1"/>
  <c r="D541" i="1"/>
  <c r="C541" i="1"/>
  <c r="B541" i="1"/>
  <c r="A541" i="1"/>
  <c r="E542" i="1"/>
  <c r="D542" i="1"/>
  <c r="C542" i="1"/>
  <c r="B542" i="1"/>
  <c r="A542" i="1"/>
  <c r="E543" i="1"/>
  <c r="D543" i="1"/>
  <c r="C543" i="1"/>
  <c r="B543" i="1"/>
  <c r="A543" i="1"/>
  <c r="E544" i="1"/>
  <c r="D544" i="1"/>
  <c r="C544" i="1"/>
  <c r="B544" i="1"/>
  <c r="A544" i="1"/>
  <c r="E545" i="1"/>
  <c r="D545" i="1"/>
  <c r="C545" i="1"/>
  <c r="B545" i="1"/>
  <c r="A545" i="1"/>
  <c r="E546" i="1"/>
  <c r="D546" i="1"/>
  <c r="C546" i="1"/>
  <c r="B546" i="1"/>
  <c r="A546" i="1"/>
  <c r="E547" i="1"/>
  <c r="D547" i="1"/>
  <c r="C547" i="1"/>
  <c r="B547" i="1"/>
  <c r="A547" i="1"/>
  <c r="E548" i="1"/>
  <c r="D548" i="1"/>
  <c r="C548" i="1"/>
  <c r="B548" i="1"/>
  <c r="A548" i="1"/>
  <c r="E549" i="1"/>
  <c r="D549" i="1"/>
  <c r="C549" i="1"/>
  <c r="B549" i="1"/>
  <c r="A549" i="1"/>
  <c r="E550" i="1"/>
  <c r="D550" i="1"/>
  <c r="C550" i="1"/>
  <c r="B550" i="1"/>
  <c r="A550" i="1"/>
  <c r="E551" i="1"/>
  <c r="D551" i="1"/>
  <c r="C551" i="1"/>
  <c r="B551" i="1"/>
  <c r="A551" i="1"/>
  <c r="E552" i="1"/>
  <c r="D552" i="1"/>
  <c r="C552" i="1"/>
  <c r="B552" i="1"/>
  <c r="A552" i="1"/>
  <c r="E553" i="1"/>
  <c r="D553" i="1"/>
  <c r="C553" i="1"/>
  <c r="B553" i="1"/>
  <c r="A553" i="1"/>
  <c r="E554" i="1"/>
  <c r="D554" i="1"/>
  <c r="C554" i="1"/>
  <c r="B554" i="1"/>
  <c r="A554" i="1"/>
  <c r="E555" i="1"/>
  <c r="D555" i="1"/>
  <c r="C555" i="1"/>
  <c r="B555" i="1"/>
  <c r="A555" i="1"/>
  <c r="E556" i="1"/>
  <c r="D556" i="1"/>
  <c r="C556" i="1"/>
  <c r="B556" i="1"/>
  <c r="A556" i="1"/>
  <c r="E557" i="1"/>
  <c r="D557" i="1"/>
  <c r="C557" i="1"/>
  <c r="B557" i="1"/>
  <c r="A557" i="1"/>
  <c r="E558" i="1"/>
  <c r="D558" i="1"/>
  <c r="C558" i="1"/>
  <c r="B558" i="1"/>
  <c r="A558" i="1"/>
  <c r="E559" i="1"/>
  <c r="D559" i="1"/>
  <c r="C559" i="1"/>
  <c r="B559" i="1"/>
  <c r="A559" i="1"/>
  <c r="E560" i="1"/>
  <c r="D560" i="1"/>
  <c r="C560" i="1"/>
  <c r="B560" i="1"/>
  <c r="A560" i="1"/>
  <c r="E561" i="1"/>
  <c r="D561" i="1"/>
  <c r="C561" i="1"/>
  <c r="B561" i="1"/>
  <c r="A561" i="1"/>
  <c r="E562" i="1"/>
  <c r="D562" i="1"/>
  <c r="C562" i="1"/>
  <c r="B562" i="1"/>
  <c r="A562" i="1"/>
  <c r="E563" i="1"/>
  <c r="D563" i="1"/>
  <c r="C563" i="1"/>
  <c r="B563" i="1"/>
  <c r="A563" i="1"/>
  <c r="E564" i="1"/>
  <c r="D564" i="1"/>
  <c r="C564" i="1"/>
  <c r="B564" i="1"/>
  <c r="A564" i="1"/>
  <c r="E565" i="1"/>
  <c r="D565" i="1"/>
  <c r="C565" i="1"/>
  <c r="B565" i="1"/>
  <c r="A565" i="1"/>
  <c r="E566" i="1"/>
  <c r="D566" i="1"/>
  <c r="C566" i="1"/>
  <c r="B566" i="1"/>
  <c r="A566" i="1"/>
  <c r="E567" i="1"/>
  <c r="D567" i="1"/>
  <c r="C567" i="1"/>
  <c r="B567" i="1"/>
  <c r="A567" i="1"/>
  <c r="E568" i="1"/>
  <c r="D568" i="1"/>
  <c r="C568" i="1"/>
  <c r="B568" i="1"/>
  <c r="A568" i="1"/>
  <c r="E569" i="1"/>
  <c r="D569" i="1"/>
  <c r="C569" i="1"/>
  <c r="B569" i="1"/>
  <c r="A569" i="1"/>
  <c r="E570" i="1"/>
  <c r="D570" i="1"/>
  <c r="C570" i="1"/>
  <c r="B570" i="1"/>
  <c r="A570" i="1"/>
  <c r="E571" i="1"/>
  <c r="D571" i="1"/>
  <c r="C571" i="1"/>
  <c r="B571" i="1"/>
  <c r="A571" i="1"/>
  <c r="E572" i="1"/>
  <c r="D572" i="1"/>
  <c r="C572" i="1"/>
  <c r="B572" i="1"/>
  <c r="A572" i="1"/>
  <c r="E573" i="1"/>
  <c r="D573" i="1"/>
  <c r="C573" i="1"/>
  <c r="B573" i="1"/>
  <c r="A573" i="1"/>
  <c r="E574" i="1"/>
  <c r="D574" i="1"/>
  <c r="C574" i="1"/>
  <c r="B574" i="1"/>
  <c r="A574" i="1"/>
  <c r="E575" i="1"/>
  <c r="D575" i="1"/>
  <c r="C575" i="1"/>
  <c r="B575" i="1"/>
  <c r="A575" i="1"/>
  <c r="E576" i="1"/>
  <c r="D576" i="1"/>
  <c r="C576" i="1"/>
  <c r="B576" i="1"/>
  <c r="A576" i="1"/>
  <c r="E577" i="1"/>
  <c r="D577" i="1"/>
  <c r="C577" i="1"/>
  <c r="B577" i="1"/>
  <c r="A577" i="1"/>
  <c r="E578" i="1"/>
  <c r="D578" i="1"/>
  <c r="C578" i="1"/>
  <c r="B578" i="1"/>
  <c r="A578" i="1"/>
  <c r="E579" i="1"/>
  <c r="D579" i="1"/>
  <c r="C579" i="1"/>
  <c r="B579" i="1"/>
  <c r="A579" i="1"/>
  <c r="E580" i="1"/>
  <c r="D580" i="1"/>
  <c r="C580" i="1"/>
  <c r="B580" i="1"/>
  <c r="A580" i="1"/>
  <c r="E581" i="1"/>
  <c r="D581" i="1"/>
  <c r="C581" i="1"/>
  <c r="B581" i="1"/>
  <c r="A581" i="1"/>
  <c r="E582" i="1"/>
  <c r="D582" i="1"/>
  <c r="C582" i="1"/>
  <c r="B582" i="1"/>
  <c r="A582" i="1"/>
  <c r="E583" i="1"/>
  <c r="D583" i="1"/>
  <c r="C583" i="1"/>
  <c r="B583" i="1"/>
  <c r="A583" i="1"/>
  <c r="E584" i="1"/>
  <c r="D584" i="1"/>
  <c r="C584" i="1"/>
  <c r="B584" i="1"/>
  <c r="A584" i="1"/>
  <c r="E585" i="1"/>
  <c r="D585" i="1"/>
  <c r="C585" i="1"/>
  <c r="B585" i="1"/>
  <c r="A585" i="1"/>
  <c r="E586" i="1"/>
  <c r="D586" i="1"/>
  <c r="C586" i="1"/>
  <c r="B586" i="1"/>
  <c r="A586" i="1"/>
  <c r="E587" i="1"/>
  <c r="D587" i="1"/>
  <c r="C587" i="1"/>
  <c r="B587" i="1"/>
  <c r="A587" i="1"/>
  <c r="E588" i="1"/>
  <c r="D588" i="1"/>
  <c r="C588" i="1"/>
  <c r="B588" i="1"/>
  <c r="A588" i="1"/>
  <c r="E589" i="1"/>
  <c r="D589" i="1"/>
  <c r="C589" i="1"/>
  <c r="B589" i="1"/>
  <c r="A589" i="1"/>
  <c r="E590" i="1"/>
  <c r="D590" i="1"/>
  <c r="C590" i="1"/>
  <c r="B590" i="1"/>
  <c r="A590" i="1"/>
  <c r="E591" i="1"/>
  <c r="D591" i="1"/>
  <c r="C591" i="1"/>
  <c r="B591" i="1"/>
  <c r="A591" i="1"/>
  <c r="E592" i="1"/>
  <c r="D592" i="1"/>
  <c r="C592" i="1"/>
  <c r="B592" i="1"/>
  <c r="A592" i="1"/>
  <c r="E593" i="1"/>
  <c r="D593" i="1"/>
  <c r="C593" i="1"/>
  <c r="B593" i="1"/>
  <c r="A593" i="1"/>
  <c r="E594" i="1"/>
  <c r="D594" i="1"/>
  <c r="C594" i="1"/>
  <c r="B594" i="1"/>
  <c r="A594" i="1"/>
  <c r="E595" i="1"/>
  <c r="D595" i="1"/>
  <c r="C595" i="1"/>
  <c r="B595" i="1"/>
  <c r="A595" i="1"/>
  <c r="E596" i="1"/>
  <c r="D596" i="1"/>
  <c r="C596" i="1"/>
  <c r="B596" i="1"/>
  <c r="A596" i="1"/>
  <c r="E597" i="1"/>
  <c r="D597" i="1"/>
  <c r="C597" i="1"/>
  <c r="B597" i="1"/>
  <c r="A597" i="1"/>
  <c r="E598" i="1"/>
  <c r="D598" i="1"/>
  <c r="C598" i="1"/>
  <c r="B598" i="1"/>
  <c r="A598" i="1"/>
  <c r="E599" i="1"/>
  <c r="D599" i="1"/>
  <c r="C599" i="1"/>
  <c r="B599" i="1"/>
  <c r="A599" i="1"/>
  <c r="E600" i="1"/>
  <c r="D600" i="1"/>
  <c r="C600" i="1"/>
  <c r="B600" i="1"/>
  <c r="A600" i="1"/>
  <c r="E601" i="1"/>
  <c r="D601" i="1"/>
  <c r="C601" i="1"/>
  <c r="B601" i="1"/>
  <c r="A601" i="1"/>
  <c r="E602" i="1"/>
  <c r="D602" i="1"/>
  <c r="C602" i="1"/>
  <c r="B602" i="1"/>
  <c r="A602" i="1"/>
  <c r="E603" i="1"/>
  <c r="D603" i="1"/>
  <c r="C603" i="1"/>
  <c r="B603" i="1"/>
  <c r="A603" i="1"/>
  <c r="E604" i="1"/>
  <c r="D604" i="1"/>
  <c r="C604" i="1"/>
  <c r="B604" i="1"/>
  <c r="A604" i="1"/>
  <c r="E605" i="1"/>
  <c r="D605" i="1"/>
  <c r="C605" i="1"/>
  <c r="B605" i="1"/>
  <c r="A605" i="1"/>
  <c r="E606" i="1"/>
  <c r="D606" i="1"/>
  <c r="C606" i="1"/>
  <c r="B606" i="1"/>
  <c r="A606" i="1"/>
  <c r="E607" i="1"/>
  <c r="D607" i="1"/>
  <c r="C607" i="1"/>
  <c r="B607" i="1"/>
  <c r="A607" i="1"/>
  <c r="E608" i="1"/>
  <c r="D608" i="1"/>
  <c r="C608" i="1"/>
  <c r="B608" i="1"/>
  <c r="A608" i="1"/>
  <c r="E609" i="1"/>
  <c r="D609" i="1"/>
  <c r="C609" i="1"/>
  <c r="B609" i="1"/>
  <c r="A609" i="1"/>
  <c r="E610" i="1"/>
  <c r="D610" i="1"/>
  <c r="C610" i="1"/>
  <c r="B610" i="1"/>
  <c r="A610" i="1"/>
  <c r="E611" i="1"/>
  <c r="D611" i="1"/>
  <c r="C611" i="1"/>
  <c r="B611" i="1"/>
  <c r="A611" i="1"/>
  <c r="E612" i="1"/>
  <c r="D612" i="1"/>
  <c r="C612" i="1"/>
  <c r="B612" i="1"/>
  <c r="A612" i="1"/>
  <c r="E613" i="1"/>
  <c r="D613" i="1"/>
  <c r="C613" i="1"/>
  <c r="B613" i="1"/>
  <c r="A613" i="1"/>
  <c r="E614" i="1"/>
  <c r="D614" i="1"/>
  <c r="C614" i="1"/>
  <c r="B614" i="1"/>
  <c r="A614" i="1"/>
  <c r="E615" i="1"/>
  <c r="D615" i="1"/>
  <c r="C615" i="1"/>
  <c r="B615" i="1"/>
  <c r="A615" i="1"/>
  <c r="E616" i="1"/>
  <c r="D616" i="1"/>
  <c r="C616" i="1"/>
  <c r="B616" i="1"/>
  <c r="A616" i="1"/>
  <c r="E617" i="1"/>
  <c r="D617" i="1"/>
  <c r="C617" i="1"/>
  <c r="B617" i="1"/>
  <c r="A617" i="1"/>
  <c r="E618" i="1"/>
  <c r="D618" i="1"/>
  <c r="C618" i="1"/>
  <c r="B618" i="1"/>
  <c r="A618" i="1"/>
  <c r="E619" i="1"/>
  <c r="D619" i="1"/>
  <c r="C619" i="1"/>
  <c r="B619" i="1"/>
  <c r="A619" i="1"/>
  <c r="E620" i="1"/>
  <c r="D620" i="1"/>
  <c r="C620" i="1"/>
  <c r="B620" i="1"/>
  <c r="A620" i="1"/>
  <c r="E621" i="1"/>
  <c r="D621" i="1"/>
  <c r="C621" i="1"/>
  <c r="B621" i="1"/>
  <c r="A621" i="1"/>
  <c r="E622" i="1"/>
  <c r="D622" i="1"/>
  <c r="C622" i="1"/>
  <c r="B622" i="1"/>
  <c r="A622" i="1"/>
  <c r="E623" i="1"/>
  <c r="D623" i="1"/>
  <c r="C623" i="1"/>
  <c r="B623" i="1"/>
  <c r="A623" i="1"/>
  <c r="E624" i="1"/>
  <c r="D624" i="1"/>
  <c r="C624" i="1"/>
  <c r="B624" i="1"/>
  <c r="A624" i="1"/>
  <c r="E625" i="1"/>
  <c r="D625" i="1"/>
  <c r="C625" i="1"/>
  <c r="B625" i="1"/>
  <c r="A625" i="1"/>
  <c r="E626" i="1"/>
  <c r="D626" i="1"/>
  <c r="C626" i="1"/>
  <c r="B626" i="1"/>
  <c r="A626" i="1"/>
  <c r="E627" i="1"/>
  <c r="D627" i="1"/>
  <c r="C627" i="1"/>
  <c r="B627" i="1"/>
  <c r="A627" i="1"/>
  <c r="E628" i="1"/>
  <c r="D628" i="1"/>
  <c r="C628" i="1"/>
  <c r="B628" i="1"/>
  <c r="A628" i="1"/>
  <c r="E629" i="1"/>
  <c r="D629" i="1"/>
  <c r="C629" i="1"/>
  <c r="B629" i="1"/>
  <c r="A629" i="1"/>
  <c r="E630" i="1"/>
  <c r="D630" i="1"/>
  <c r="C630" i="1"/>
  <c r="B630" i="1"/>
  <c r="A630" i="1"/>
  <c r="E631" i="1"/>
  <c r="D631" i="1"/>
  <c r="C631" i="1"/>
  <c r="B631" i="1"/>
  <c r="A631" i="1"/>
  <c r="E632" i="1"/>
  <c r="D632" i="1"/>
  <c r="C632" i="1"/>
  <c r="B632" i="1"/>
  <c r="A632" i="1"/>
  <c r="E633" i="1"/>
  <c r="D633" i="1"/>
  <c r="C633" i="1"/>
  <c r="B633" i="1"/>
  <c r="A633" i="1"/>
  <c r="E634" i="1"/>
  <c r="D634" i="1"/>
  <c r="C634" i="1"/>
  <c r="B634" i="1"/>
  <c r="A634" i="1"/>
  <c r="E635" i="1"/>
  <c r="D635" i="1"/>
  <c r="C635" i="1"/>
  <c r="B635" i="1"/>
  <c r="A635" i="1"/>
  <c r="E636" i="1"/>
  <c r="D636" i="1"/>
  <c r="C636" i="1"/>
  <c r="B636" i="1"/>
  <c r="A636" i="1"/>
  <c r="E637" i="1"/>
  <c r="D637" i="1"/>
  <c r="C637" i="1"/>
  <c r="B637" i="1"/>
  <c r="A637" i="1"/>
  <c r="E638" i="1"/>
  <c r="D638" i="1"/>
  <c r="C638" i="1"/>
  <c r="B638" i="1"/>
  <c r="A638" i="1"/>
  <c r="E639" i="1"/>
  <c r="D639" i="1"/>
  <c r="C639" i="1"/>
  <c r="B639" i="1"/>
  <c r="A639" i="1"/>
  <c r="E640" i="1"/>
  <c r="D640" i="1"/>
  <c r="C640" i="1"/>
  <c r="B640" i="1"/>
  <c r="A640" i="1"/>
  <c r="E641" i="1"/>
  <c r="D641" i="1"/>
  <c r="C641" i="1"/>
  <c r="B641" i="1"/>
  <c r="A641" i="1"/>
  <c r="E642" i="1"/>
  <c r="D642" i="1"/>
  <c r="C642" i="1"/>
  <c r="B642" i="1"/>
  <c r="A642" i="1"/>
  <c r="E643" i="1"/>
  <c r="D643" i="1"/>
  <c r="C643" i="1"/>
  <c r="B643" i="1"/>
  <c r="A643" i="1"/>
  <c r="E644" i="1"/>
  <c r="D644" i="1"/>
  <c r="C644" i="1"/>
  <c r="B644" i="1"/>
  <c r="A644" i="1"/>
  <c r="E645" i="1"/>
  <c r="D645" i="1"/>
  <c r="C645" i="1"/>
  <c r="B645" i="1"/>
  <c r="A645" i="1"/>
  <c r="E646" i="1"/>
  <c r="D646" i="1"/>
  <c r="C646" i="1"/>
  <c r="B646" i="1"/>
  <c r="A646" i="1"/>
  <c r="E647" i="1"/>
  <c r="D647" i="1"/>
  <c r="C647" i="1"/>
  <c r="B647" i="1"/>
  <c r="A647" i="1"/>
  <c r="E648" i="1"/>
  <c r="D648" i="1"/>
  <c r="C648" i="1"/>
  <c r="B648" i="1"/>
  <c r="A648" i="1"/>
  <c r="E649" i="1"/>
  <c r="D649" i="1"/>
  <c r="C649" i="1"/>
  <c r="B649" i="1"/>
  <c r="A649" i="1"/>
  <c r="E650" i="1"/>
  <c r="D650" i="1"/>
  <c r="C650" i="1"/>
  <c r="B650" i="1"/>
  <c r="A650" i="1"/>
  <c r="E651" i="1"/>
  <c r="D651" i="1"/>
  <c r="C651" i="1"/>
  <c r="B651" i="1"/>
  <c r="A651" i="1"/>
  <c r="E652" i="1"/>
  <c r="D652" i="1"/>
  <c r="C652" i="1"/>
  <c r="B652" i="1"/>
  <c r="A652" i="1"/>
  <c r="E653" i="1"/>
  <c r="D653" i="1"/>
  <c r="C653" i="1"/>
  <c r="B653" i="1"/>
  <c r="A653" i="1"/>
  <c r="E654" i="1"/>
  <c r="D654" i="1"/>
  <c r="C654" i="1"/>
  <c r="B654" i="1"/>
  <c r="A654" i="1"/>
  <c r="E655" i="1"/>
  <c r="D655" i="1"/>
  <c r="C655" i="1"/>
  <c r="B655" i="1"/>
  <c r="A655" i="1"/>
  <c r="E656" i="1"/>
  <c r="D656" i="1"/>
  <c r="C656" i="1"/>
  <c r="B656" i="1"/>
  <c r="A656" i="1"/>
  <c r="E657" i="1"/>
  <c r="D657" i="1"/>
  <c r="C657" i="1"/>
  <c r="B657" i="1"/>
  <c r="A657" i="1"/>
  <c r="E658" i="1"/>
  <c r="D658" i="1"/>
  <c r="C658" i="1"/>
  <c r="B658" i="1"/>
  <c r="A658" i="1"/>
  <c r="E659" i="1"/>
  <c r="D659" i="1"/>
  <c r="C659" i="1"/>
  <c r="B659" i="1"/>
  <c r="A659" i="1"/>
  <c r="E660" i="1"/>
  <c r="D660" i="1"/>
  <c r="C660" i="1"/>
  <c r="B660" i="1"/>
  <c r="A660" i="1"/>
  <c r="E661" i="1"/>
  <c r="D661" i="1"/>
  <c r="C661" i="1"/>
  <c r="B661" i="1"/>
  <c r="A661" i="1"/>
  <c r="E662" i="1"/>
  <c r="D662" i="1"/>
  <c r="C662" i="1"/>
  <c r="B662" i="1"/>
  <c r="A662" i="1"/>
  <c r="E663" i="1"/>
  <c r="D663" i="1"/>
  <c r="C663" i="1"/>
  <c r="B663" i="1"/>
  <c r="A663" i="1"/>
  <c r="E664" i="1"/>
  <c r="D664" i="1"/>
  <c r="C664" i="1"/>
  <c r="B664" i="1"/>
  <c r="A664" i="1"/>
  <c r="E665" i="1"/>
  <c r="D665" i="1"/>
  <c r="C665" i="1"/>
  <c r="B665" i="1"/>
  <c r="A665" i="1"/>
  <c r="E666" i="1"/>
  <c r="D666" i="1"/>
  <c r="C666" i="1"/>
  <c r="B666" i="1"/>
  <c r="A666" i="1"/>
  <c r="E667" i="1"/>
  <c r="D667" i="1"/>
  <c r="C667" i="1"/>
  <c r="B667" i="1"/>
  <c r="A667" i="1"/>
  <c r="E668" i="1"/>
  <c r="D668" i="1"/>
  <c r="C668" i="1"/>
  <c r="B668" i="1"/>
  <c r="A668" i="1"/>
  <c r="E669" i="1"/>
  <c r="D669" i="1"/>
  <c r="C669" i="1"/>
  <c r="B669" i="1"/>
  <c r="A669" i="1"/>
  <c r="E670" i="1"/>
  <c r="D670" i="1"/>
  <c r="C670" i="1"/>
  <c r="B670" i="1"/>
  <c r="A670" i="1"/>
  <c r="E671" i="1"/>
  <c r="D671" i="1"/>
  <c r="C671" i="1"/>
  <c r="B671" i="1"/>
  <c r="A671" i="1"/>
  <c r="E672" i="1"/>
  <c r="D672" i="1"/>
  <c r="C672" i="1"/>
  <c r="B672" i="1"/>
  <c r="A672" i="1"/>
  <c r="E673" i="1"/>
  <c r="D673" i="1"/>
  <c r="C673" i="1"/>
  <c r="B673" i="1"/>
  <c r="A673" i="1"/>
  <c r="E674" i="1"/>
  <c r="D674" i="1"/>
  <c r="C674" i="1"/>
  <c r="B674" i="1"/>
  <c r="A674" i="1"/>
  <c r="E675" i="1"/>
  <c r="D675" i="1"/>
  <c r="C675" i="1"/>
  <c r="B675" i="1"/>
  <c r="A675" i="1"/>
  <c r="E676" i="1"/>
  <c r="D676" i="1"/>
  <c r="C676" i="1"/>
  <c r="B676" i="1"/>
  <c r="A676" i="1"/>
  <c r="E677" i="1"/>
  <c r="D677" i="1"/>
  <c r="C677" i="1"/>
  <c r="B677" i="1"/>
  <c r="A677" i="1"/>
  <c r="E678" i="1"/>
  <c r="D678" i="1"/>
  <c r="C678" i="1"/>
  <c r="B678" i="1"/>
  <c r="A678" i="1"/>
  <c r="E679" i="1"/>
  <c r="D679" i="1"/>
  <c r="C679" i="1"/>
  <c r="B679" i="1"/>
  <c r="A679" i="1"/>
  <c r="E680" i="1"/>
  <c r="D680" i="1"/>
  <c r="C680" i="1"/>
  <c r="B680" i="1"/>
  <c r="A680" i="1"/>
  <c r="E681" i="1"/>
  <c r="D681" i="1"/>
  <c r="C681" i="1"/>
  <c r="B681" i="1"/>
  <c r="A681" i="1"/>
  <c r="E682" i="1"/>
  <c r="D682" i="1"/>
  <c r="C682" i="1"/>
  <c r="B682" i="1"/>
  <c r="A682" i="1"/>
  <c r="E683" i="1"/>
  <c r="D683" i="1"/>
  <c r="C683" i="1"/>
  <c r="B683" i="1"/>
  <c r="A683" i="1"/>
  <c r="E684" i="1"/>
  <c r="D684" i="1"/>
  <c r="C684" i="1"/>
  <c r="B684" i="1"/>
  <c r="A684" i="1"/>
  <c r="E685" i="1"/>
  <c r="D685" i="1"/>
  <c r="C685" i="1"/>
  <c r="B685" i="1"/>
  <c r="A685" i="1"/>
  <c r="E686" i="1"/>
  <c r="D686" i="1"/>
  <c r="C686" i="1"/>
  <c r="B686" i="1"/>
  <c r="A686" i="1"/>
  <c r="E687" i="1"/>
  <c r="D687" i="1"/>
  <c r="C687" i="1"/>
  <c r="B687" i="1"/>
  <c r="A687" i="1"/>
  <c r="E688" i="1"/>
  <c r="D688" i="1"/>
  <c r="C688" i="1"/>
  <c r="B688" i="1"/>
  <c r="A688" i="1"/>
  <c r="E689" i="1"/>
  <c r="D689" i="1"/>
  <c r="C689" i="1"/>
  <c r="B689" i="1"/>
  <c r="A689" i="1"/>
  <c r="E690" i="1"/>
  <c r="D690" i="1"/>
  <c r="C690" i="1"/>
  <c r="B690" i="1"/>
  <c r="A690" i="1"/>
  <c r="E691" i="1"/>
  <c r="D691" i="1"/>
  <c r="C691" i="1"/>
  <c r="B691" i="1"/>
  <c r="A691" i="1"/>
  <c r="E692" i="1"/>
  <c r="D692" i="1"/>
  <c r="C692" i="1"/>
  <c r="B692" i="1"/>
  <c r="A692" i="1"/>
  <c r="E693" i="1"/>
  <c r="D693" i="1"/>
  <c r="C693" i="1"/>
  <c r="B693" i="1"/>
  <c r="A693" i="1"/>
  <c r="E694" i="1"/>
  <c r="D694" i="1"/>
  <c r="C694" i="1"/>
  <c r="B694" i="1"/>
  <c r="A694" i="1"/>
  <c r="E695" i="1"/>
  <c r="D695" i="1"/>
  <c r="C695" i="1"/>
  <c r="B695" i="1"/>
  <c r="A695" i="1"/>
  <c r="E696" i="1"/>
  <c r="D696" i="1"/>
  <c r="C696" i="1"/>
  <c r="B696" i="1"/>
  <c r="A696" i="1"/>
  <c r="E697" i="1"/>
  <c r="D697" i="1"/>
  <c r="C697" i="1"/>
  <c r="B697" i="1"/>
  <c r="A697" i="1"/>
  <c r="E698" i="1"/>
  <c r="D698" i="1"/>
  <c r="C698" i="1"/>
  <c r="B698" i="1"/>
  <c r="A698" i="1"/>
  <c r="E699" i="1"/>
  <c r="D699" i="1"/>
  <c r="C699" i="1"/>
  <c r="B699" i="1"/>
  <c r="A699" i="1"/>
  <c r="E700" i="1"/>
  <c r="D700" i="1"/>
  <c r="C700" i="1"/>
  <c r="B700" i="1"/>
  <c r="A700" i="1"/>
  <c r="E701" i="1"/>
  <c r="D701" i="1"/>
  <c r="C701" i="1"/>
  <c r="B701" i="1"/>
  <c r="A701" i="1"/>
  <c r="E702" i="1"/>
  <c r="D702" i="1"/>
  <c r="C702" i="1"/>
  <c r="B702" i="1"/>
  <c r="A702" i="1"/>
  <c r="E703" i="1"/>
  <c r="D703" i="1"/>
  <c r="C703" i="1"/>
  <c r="B703" i="1"/>
  <c r="A703" i="1"/>
  <c r="E704" i="1"/>
  <c r="D704" i="1"/>
  <c r="C704" i="1"/>
  <c r="B704" i="1"/>
  <c r="A704" i="1"/>
  <c r="E705" i="1"/>
  <c r="D705" i="1"/>
  <c r="C705" i="1"/>
  <c r="B705" i="1"/>
  <c r="A705" i="1"/>
  <c r="E706" i="1"/>
  <c r="D706" i="1"/>
  <c r="C706" i="1"/>
  <c r="B706" i="1"/>
  <c r="A706" i="1"/>
  <c r="E707" i="1"/>
  <c r="D707" i="1"/>
  <c r="C707" i="1"/>
  <c r="B707" i="1"/>
  <c r="A707" i="1"/>
  <c r="E708" i="1"/>
  <c r="D708" i="1"/>
  <c r="C708" i="1"/>
  <c r="B708" i="1"/>
  <c r="A708" i="1"/>
  <c r="E709" i="1"/>
  <c r="D709" i="1"/>
  <c r="C709" i="1"/>
  <c r="B709" i="1"/>
  <c r="A709" i="1"/>
  <c r="E710" i="1"/>
  <c r="D710" i="1"/>
  <c r="C710" i="1"/>
  <c r="B710" i="1"/>
  <c r="A710" i="1"/>
  <c r="E711" i="1"/>
  <c r="D711" i="1"/>
  <c r="C711" i="1"/>
  <c r="B711" i="1"/>
  <c r="A711" i="1"/>
  <c r="E712" i="1"/>
  <c r="D712" i="1"/>
  <c r="C712" i="1"/>
  <c r="B712" i="1"/>
  <c r="A712" i="1"/>
  <c r="E713" i="1"/>
  <c r="D713" i="1"/>
  <c r="C713" i="1"/>
  <c r="B713" i="1"/>
  <c r="A713" i="1"/>
  <c r="E714" i="1"/>
  <c r="D714" i="1"/>
  <c r="C714" i="1"/>
  <c r="B714" i="1"/>
  <c r="A714" i="1"/>
  <c r="E715" i="1"/>
  <c r="D715" i="1"/>
  <c r="C715" i="1"/>
  <c r="B715" i="1"/>
  <c r="A715" i="1"/>
  <c r="E716" i="1"/>
  <c r="D716" i="1"/>
  <c r="C716" i="1"/>
  <c r="B716" i="1"/>
  <c r="A716" i="1"/>
  <c r="E717" i="1"/>
  <c r="D717" i="1"/>
  <c r="C717" i="1"/>
  <c r="B717" i="1"/>
  <c r="A717" i="1"/>
  <c r="E718" i="1"/>
  <c r="D718" i="1"/>
  <c r="C718" i="1"/>
  <c r="B718" i="1"/>
  <c r="A718" i="1"/>
  <c r="E719" i="1"/>
  <c r="D719" i="1"/>
  <c r="C719" i="1"/>
  <c r="B719" i="1"/>
  <c r="A719" i="1"/>
  <c r="E720" i="1"/>
  <c r="D720" i="1"/>
  <c r="C720" i="1"/>
  <c r="B720" i="1"/>
  <c r="A720" i="1"/>
  <c r="E721" i="1"/>
  <c r="D721" i="1"/>
  <c r="C721" i="1"/>
  <c r="B721" i="1"/>
  <c r="A721" i="1"/>
  <c r="E722" i="1"/>
  <c r="D722" i="1"/>
  <c r="C722" i="1"/>
  <c r="B722" i="1"/>
  <c r="A722" i="1"/>
  <c r="E723" i="1"/>
  <c r="D723" i="1"/>
  <c r="C723" i="1"/>
  <c r="B723" i="1"/>
  <c r="A723" i="1"/>
  <c r="E724" i="1"/>
  <c r="D724" i="1"/>
  <c r="C724" i="1"/>
  <c r="B724" i="1"/>
  <c r="A724" i="1"/>
  <c r="E725" i="1"/>
  <c r="D725" i="1"/>
  <c r="C725" i="1"/>
  <c r="B725" i="1"/>
  <c r="A725" i="1"/>
  <c r="E726" i="1"/>
  <c r="D726" i="1"/>
  <c r="C726" i="1"/>
  <c r="B726" i="1"/>
  <c r="A726" i="1"/>
  <c r="E727" i="1"/>
  <c r="D727" i="1"/>
  <c r="C727" i="1"/>
  <c r="B727" i="1"/>
  <c r="A727" i="1"/>
  <c r="E728" i="1"/>
  <c r="D728" i="1"/>
  <c r="C728" i="1"/>
  <c r="B728" i="1"/>
  <c r="A728" i="1"/>
  <c r="E729" i="1"/>
  <c r="D729" i="1"/>
  <c r="C729" i="1"/>
  <c r="B729" i="1"/>
  <c r="A729" i="1"/>
  <c r="E730" i="1"/>
  <c r="D730" i="1"/>
  <c r="C730" i="1"/>
  <c r="B730" i="1"/>
  <c r="A730" i="1"/>
  <c r="E731" i="1"/>
  <c r="D731" i="1"/>
  <c r="C731" i="1"/>
  <c r="B731" i="1"/>
  <c r="A731" i="1"/>
  <c r="E732" i="1"/>
  <c r="D732" i="1"/>
  <c r="C732" i="1"/>
  <c r="B732" i="1"/>
  <c r="A732" i="1"/>
  <c r="E733" i="1"/>
  <c r="D733" i="1"/>
  <c r="C733" i="1"/>
  <c r="B733" i="1"/>
  <c r="A733" i="1"/>
  <c r="E734" i="1"/>
  <c r="D734" i="1"/>
  <c r="C734" i="1"/>
  <c r="B734" i="1"/>
  <c r="A734" i="1"/>
  <c r="E735" i="1"/>
  <c r="D735" i="1"/>
  <c r="C735" i="1"/>
  <c r="B735" i="1"/>
  <c r="A735" i="1"/>
  <c r="E736" i="1"/>
  <c r="D736" i="1"/>
  <c r="C736" i="1"/>
  <c r="B736" i="1"/>
  <c r="A736" i="1"/>
  <c r="E737" i="1"/>
  <c r="D737" i="1"/>
  <c r="C737" i="1"/>
  <c r="B737" i="1"/>
  <c r="A737" i="1"/>
  <c r="E738" i="1"/>
  <c r="D738" i="1"/>
  <c r="C738" i="1"/>
  <c r="B738" i="1"/>
  <c r="A738" i="1"/>
  <c r="E739" i="1"/>
  <c r="D739" i="1"/>
  <c r="C739" i="1"/>
  <c r="B739" i="1"/>
  <c r="A739" i="1"/>
  <c r="E740" i="1"/>
  <c r="D740" i="1"/>
  <c r="C740" i="1"/>
  <c r="B740" i="1"/>
  <c r="A740" i="1"/>
  <c r="E741" i="1"/>
  <c r="D741" i="1"/>
  <c r="C741" i="1"/>
  <c r="B741" i="1"/>
  <c r="A741" i="1"/>
  <c r="E742" i="1"/>
  <c r="D742" i="1"/>
  <c r="C742" i="1"/>
  <c r="B742" i="1"/>
  <c r="A742" i="1"/>
  <c r="E743" i="1"/>
  <c r="D743" i="1"/>
  <c r="C743" i="1"/>
  <c r="B743" i="1"/>
  <c r="A743" i="1"/>
  <c r="E744" i="1"/>
  <c r="D744" i="1"/>
  <c r="C744" i="1"/>
  <c r="B744" i="1"/>
  <c r="A744" i="1"/>
  <c r="E745" i="1"/>
  <c r="D745" i="1"/>
  <c r="C745" i="1"/>
  <c r="B745" i="1"/>
  <c r="A745" i="1"/>
  <c r="E1" i="1"/>
  <c r="D1" i="1"/>
  <c r="C1" i="1"/>
  <c r="B1" i="1"/>
</calcChain>
</file>

<file path=xl/sharedStrings.xml><?xml version="1.0" encoding="utf-8"?>
<sst xmlns="http://schemas.openxmlformats.org/spreadsheetml/2006/main" count="1" uniqueCount="1">
  <si>
    <t>SPEEDY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</si>
</sst>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9DF7B-65B7-4985-8723-D8299CD0DFF4}">
  <dimension ref="A1:E8228"/>
  <sheetViews>
    <sheetView tabSelected="1" workbookViewId="0">
      <pane ySplit="1" topLeftCell="A2" activePane="bottomLeft" state="frozen"/>
      <selection pane="bottomLeft" activeCell="O10" sqref="O10"/>
    </sheetView>
  </sheetViews>
  <sheetFormatPr defaultRowHeight="15" x14ac:dyDescent="0.25"/>
  <cols>
    <col min="1" max="1" width="10.42578125" bestFit="1" customWidth="1"/>
    <col min="2" max="2" width="13.140625" style="1" bestFit="1" customWidth="1"/>
    <col min="3" max="3" width="91.28515625" bestFit="1" customWidth="1"/>
    <col min="4" max="4" width="10.140625" bestFit="1" customWidth="1"/>
    <col min="5" max="5" width="9.85546875" bestFit="1" customWidth="1"/>
  </cols>
  <sheetData>
    <row r="1" spans="1:5" x14ac:dyDescent="0.25">
      <c r="A1" s="2" t="s">
        <v>0</v>
      </c>
      <c r="B1" s="3" t="str">
        <f>"UPC"</f>
        <v>UPC</v>
      </c>
      <c r="C1" s="2" t="str">
        <f>"TITLE"</f>
        <v>TITLE</v>
      </c>
      <c r="D1" s="2" t="str">
        <f>"MFG_ID"</f>
        <v>MFG_ID</v>
      </c>
      <c r="E1" s="2" t="str">
        <f>"DAY24"</f>
        <v>DAY24</v>
      </c>
    </row>
    <row r="2" spans="1:5" x14ac:dyDescent="0.25">
      <c r="A2" t="str">
        <f>"298692"</f>
        <v>298692</v>
      </c>
      <c r="B2" s="1" t="str">
        <f>"81983652226"</f>
        <v>81983652226</v>
      </c>
      <c r="C2" t="str">
        <f>"EVERYDAY COUNTER-BIRTHDAY MOM PKG/6-10269"</f>
        <v>EVERYDAY COUNTER-BIRTHDAY MOM PKG/6-10269</v>
      </c>
      <c r="D2" t="str">
        <f>"10269"</f>
        <v>10269</v>
      </c>
      <c r="E2" t="str">
        <f>"ED24A001"</f>
        <v>ED24A001</v>
      </c>
    </row>
    <row r="3" spans="1:5" x14ac:dyDescent="0.25">
      <c r="A3" t="str">
        <f>"308420"</f>
        <v>308420</v>
      </c>
      <c r="B3" s="1" t="str">
        <f>"81983773860"</f>
        <v>81983773860</v>
      </c>
      <c r="C3" t="str">
        <f>"EVERYDAY COUNTER-RELATIVE BD MOTHER PKG/6-J2758"</f>
        <v>EVERYDAY COUNTER-RELATIVE BD MOTHER PKG/6-J2758</v>
      </c>
      <c r="D3" t="str">
        <f>"J2758"</f>
        <v>J2758</v>
      </c>
      <c r="E3" t="str">
        <f>"ED24A002"</f>
        <v>ED24A002</v>
      </c>
    </row>
    <row r="4" spans="1:5" x14ac:dyDescent="0.25">
      <c r="A4" t="str">
        <f>"298664"</f>
        <v>298664</v>
      </c>
      <c r="B4" s="1" t="str">
        <f>"81983773570"</f>
        <v>81983773570</v>
      </c>
      <c r="C4" t="str">
        <f>"EVERYDAY COUNTER-BDAY DAUGHTER PKG/6-10228"</f>
        <v>EVERYDAY COUNTER-BDAY DAUGHTER PKG/6-10228</v>
      </c>
      <c r="D4" t="str">
        <f>"10228"</f>
        <v>10228</v>
      </c>
      <c r="E4" t="str">
        <f>"ED24A003"</f>
        <v>ED24A003</v>
      </c>
    </row>
    <row r="5" spans="1:5" x14ac:dyDescent="0.25">
      <c r="A5" t="str">
        <f>"349544"</f>
        <v>349544</v>
      </c>
      <c r="B5" s="1" t="str">
        <f>"81983778377"</f>
        <v>81983778377</v>
      </c>
      <c r="C5" t="str">
        <f>"EVERYDAY COUNTER-BIRTHDAY FOR HER PKG/2"</f>
        <v>EVERYDAY COUNTER-BIRTHDAY FOR HER PKG/2</v>
      </c>
      <c r="D5" t="str">
        <f>"U0468"</f>
        <v>U0468</v>
      </c>
      <c r="E5" t="str">
        <f>"ED24A004"</f>
        <v>ED24A004</v>
      </c>
    </row>
    <row r="6" spans="1:5" x14ac:dyDescent="0.25">
      <c r="A6" t="str">
        <f>"349546"</f>
        <v>349546</v>
      </c>
      <c r="B6" s="1" t="str">
        <f>"81983778384"</f>
        <v>81983778384</v>
      </c>
      <c r="C6" t="str">
        <f>"EVERYDAY COUNTER-BIRTHDAY FOR HER PKG/2-U0469"</f>
        <v>EVERYDAY COUNTER-BIRTHDAY FOR HER PKG/2-U0469</v>
      </c>
      <c r="D6" t="str">
        <f>"U0469"</f>
        <v>U0469</v>
      </c>
      <c r="E6" t="str">
        <f>"ED24A005"</f>
        <v>ED24A005</v>
      </c>
    </row>
    <row r="7" spans="1:5" x14ac:dyDescent="0.25">
      <c r="A7" t="str">
        <f>"279767"</f>
        <v>279767</v>
      </c>
      <c r="B7" s="1" t="str">
        <f>"81983774195"</f>
        <v>81983774195</v>
      </c>
      <c r="C7" t="str">
        <f>"EVERYDAY COUNTER-RELATIVE BD WIFE PKG/6-J9051"</f>
        <v>EVERYDAY COUNTER-RELATIVE BD WIFE PKG/6-J9051</v>
      </c>
      <c r="D7" t="str">
        <f>"J9051"</f>
        <v>J9051</v>
      </c>
      <c r="E7" t="str">
        <f>"ED24A006"</f>
        <v>ED24A006</v>
      </c>
    </row>
    <row r="8" spans="1:5" x14ac:dyDescent="0.25">
      <c r="A8" t="str">
        <f>"349507"</f>
        <v>349507</v>
      </c>
      <c r="B8" s="1" t="str">
        <f>"81983778193"</f>
        <v>81983778193</v>
      </c>
      <c r="C8" t="str">
        <f>"EVERYDAY COUNTER-RELATIVE BIRTHDAY PKG/6-U0440"</f>
        <v>EVERYDAY COUNTER-RELATIVE BIRTHDAY PKG/6-U0440</v>
      </c>
      <c r="D8" t="str">
        <f>"U0440"</f>
        <v>U0440</v>
      </c>
      <c r="E8" t="str">
        <f>"ED24A007"</f>
        <v>ED24A007</v>
      </c>
    </row>
    <row r="9" spans="1:5" x14ac:dyDescent="0.25">
      <c r="A9" t="str">
        <f>"308033"</f>
        <v>308033</v>
      </c>
      <c r="B9" s="1" t="str">
        <f>"81983773792"</f>
        <v>81983773792</v>
      </c>
      <c r="C9" t="str">
        <f>"EVERYDAY COUNTER-HUSBAND BIRTHDAY-66686"</f>
        <v>EVERYDAY COUNTER-HUSBAND BIRTHDAY-66686</v>
      </c>
      <c r="D9" t="str">
        <f>"66686"</f>
        <v>66686</v>
      </c>
      <c r="E9" t="str">
        <f>"ED24A008"</f>
        <v>ED24A008</v>
      </c>
    </row>
    <row r="10" spans="1:5" x14ac:dyDescent="0.25">
      <c r="A10" t="str">
        <f>"349488"</f>
        <v>349488</v>
      </c>
      <c r="B10" s="1" t="str">
        <f>"81983778148"</f>
        <v>81983778148</v>
      </c>
      <c r="C10" t="str">
        <f>"EVERYDAY COUNTER-RELATIVE BIRTHDAY PKG/6-U0435"</f>
        <v>EVERYDAY COUNTER-RELATIVE BIRTHDAY PKG/6-U0435</v>
      </c>
      <c r="D10" t="str">
        <f>"U0435"</f>
        <v>U0435</v>
      </c>
      <c r="E10" t="str">
        <f>"ED24A009"</f>
        <v>ED24A009</v>
      </c>
    </row>
    <row r="11" spans="1:5" x14ac:dyDescent="0.25">
      <c r="A11" t="str">
        <f>"308272"</f>
        <v>308272</v>
      </c>
      <c r="B11" s="1" t="str">
        <f>"81983682483"</f>
        <v>81983682483</v>
      </c>
      <c r="C11" t="str">
        <f>"EVERYDAY COUNTER-RELATIVE BDAY-MOTHER PKG/6-J0022"</f>
        <v>EVERYDAY COUNTER-RELATIVE BDAY-MOTHER PKG/6-J0022</v>
      </c>
      <c r="D11" t="str">
        <f>"J0022"</f>
        <v>J0022</v>
      </c>
      <c r="E11" t="str">
        <f>"ED24A010"</f>
        <v>ED24A010</v>
      </c>
    </row>
    <row r="12" spans="1:5" x14ac:dyDescent="0.25">
      <c r="A12" t="str">
        <f>"279486"</f>
        <v>279486</v>
      </c>
      <c r="B12" s="1" t="str">
        <f>"81983773549"</f>
        <v>81983773549</v>
      </c>
      <c r="C12" t="str">
        <f>"EVERYDAY COUNTER-REL BD DAUGHTER ADULT PKG/6-J5518"</f>
        <v>EVERYDAY COUNTER-REL BD DAUGHTER ADULT PKG/6-J5518</v>
      </c>
      <c r="D12" t="str">
        <f>"J5518"</f>
        <v>J5518</v>
      </c>
      <c r="E12" t="str">
        <f>"ED24A011"</f>
        <v>ED24A011</v>
      </c>
    </row>
    <row r="13" spans="1:5" x14ac:dyDescent="0.25">
      <c r="A13" t="str">
        <f>"349529"</f>
        <v>349529</v>
      </c>
      <c r="B13" s="1" t="str">
        <f>"81983778476"</f>
        <v>81983778476</v>
      </c>
      <c r="C13" t="str">
        <f>"EVERYDAY COUNTER-BIRTHDAY PKG/6-U0478"</f>
        <v>EVERYDAY COUNTER-BIRTHDAY PKG/6-U0478</v>
      </c>
      <c r="D13" t="str">
        <f>"U0478"</f>
        <v>U0478</v>
      </c>
      <c r="E13" t="str">
        <f>"ED24A012"</f>
        <v>ED24A012</v>
      </c>
    </row>
    <row r="14" spans="1:5" x14ac:dyDescent="0.25">
      <c r="A14" t="str">
        <f>"349530"</f>
        <v>349530</v>
      </c>
      <c r="B14" s="1" t="str">
        <f>"81983778483"</f>
        <v>81983778483</v>
      </c>
      <c r="C14" t="str">
        <f>"EVERYDAY COUNTER-BIRTHDAY PKG/6-U0479"</f>
        <v>EVERYDAY COUNTER-BIRTHDAY PKG/6-U0479</v>
      </c>
      <c r="D14" t="str">
        <f>"U0479"</f>
        <v>U0479</v>
      </c>
      <c r="E14" t="str">
        <f>"ED24A013"</f>
        <v>ED24A013</v>
      </c>
    </row>
    <row r="15" spans="1:5" x14ac:dyDescent="0.25">
      <c r="A15" t="str">
        <f>"307892"</f>
        <v>307892</v>
      </c>
      <c r="B15" s="1" t="str">
        <f>"81983774249"</f>
        <v>81983774249</v>
      </c>
      <c r="C15" t="str">
        <f>"EVERYDAY COUNTER-RELATIVE BDAY-WIFE-44113"</f>
        <v>EVERYDAY COUNTER-RELATIVE BDAY-WIFE-44113</v>
      </c>
      <c r="D15" t="str">
        <f>"44113"</f>
        <v>44113</v>
      </c>
      <c r="E15" t="str">
        <f>"ED24A014"</f>
        <v>ED24A014</v>
      </c>
    </row>
    <row r="16" spans="1:5" x14ac:dyDescent="0.25">
      <c r="A16" t="str">
        <f>"279522"</f>
        <v>279522</v>
      </c>
      <c r="B16" s="1" t="str">
        <f>"81983738791"</f>
        <v>81983738791</v>
      </c>
      <c r="C16" t="str">
        <f>"EVERYDAY COUNTER-REL BD ONE I LOVE FEM PKG/6-J5546"</f>
        <v>EVERYDAY COUNTER-REL BD ONE I LOVE FEM PKG/6-J5546</v>
      </c>
      <c r="D16" t="str">
        <f>"J5546"</f>
        <v>J5546</v>
      </c>
      <c r="E16" t="str">
        <f>"ED24A015"</f>
        <v>ED24A015</v>
      </c>
    </row>
    <row r="17" spans="1:5" x14ac:dyDescent="0.25">
      <c r="A17" t="str">
        <f>"279740"</f>
        <v>279740</v>
      </c>
      <c r="B17" s="1" t="str">
        <f>"81983773785"</f>
        <v>81983773785</v>
      </c>
      <c r="C17" t="str">
        <f>"EVERYDAY COUNTER-RELATIVE BD HUSBAND PKG/6-J9030"</f>
        <v>EVERYDAY COUNTER-RELATIVE BD HUSBAND PKG/6-J9030</v>
      </c>
      <c r="D17" t="str">
        <f>"J9030"</f>
        <v>J9030</v>
      </c>
      <c r="E17" t="str">
        <f>"ED24A016"</f>
        <v>ED24A016</v>
      </c>
    </row>
    <row r="18" spans="1:5" x14ac:dyDescent="0.25">
      <c r="A18" t="str">
        <f>"279744"</f>
        <v>279744</v>
      </c>
      <c r="B18" s="1" t="str">
        <f>"81983764226"</f>
        <v>81983764226</v>
      </c>
      <c r="C18" t="str">
        <f>"EVERYDAY COUNTER-RELATIVE BD MOM PKG/6-J9033"</f>
        <v>EVERYDAY COUNTER-RELATIVE BD MOM PKG/6-J9033</v>
      </c>
      <c r="D18" t="str">
        <f>"J9033"</f>
        <v>J9033</v>
      </c>
      <c r="E18" t="str">
        <f>"ED24A017"</f>
        <v>ED24A017</v>
      </c>
    </row>
    <row r="19" spans="1:5" x14ac:dyDescent="0.25">
      <c r="A19" t="str">
        <f>"349492"</f>
        <v>349492</v>
      </c>
      <c r="B19" s="1" t="str">
        <f>"81983778162"</f>
        <v>81983778162</v>
      </c>
      <c r="C19" t="str">
        <f>"EVERYDAY COUNTER-RELATIVE BIRTHDAY PKG/6-U0437"</f>
        <v>EVERYDAY COUNTER-RELATIVE BIRTHDAY PKG/6-U0437</v>
      </c>
      <c r="D19" t="str">
        <f>"U0437"</f>
        <v>U0437</v>
      </c>
      <c r="E19" t="str">
        <f>"ED24A018"</f>
        <v>ED24A018</v>
      </c>
    </row>
    <row r="20" spans="1:5" x14ac:dyDescent="0.25">
      <c r="A20" t="str">
        <f>"308409"</f>
        <v>308409</v>
      </c>
      <c r="B20" s="1" t="str">
        <f>"81983715174"</f>
        <v>81983715174</v>
      </c>
      <c r="C20" t="str">
        <f>"EVERYDAY COUNTER-RELATIVE BD DAUGHTER PKG/6-J2743"</f>
        <v>EVERYDAY COUNTER-RELATIVE BD DAUGHTER PKG/6-J2743</v>
      </c>
      <c r="D20" t="str">
        <f>"J2743"</f>
        <v>J2743</v>
      </c>
      <c r="E20" t="str">
        <f>"ED24A019"</f>
        <v>ED24A019</v>
      </c>
    </row>
    <row r="21" spans="1:5" x14ac:dyDescent="0.25">
      <c r="A21" t="str">
        <f>"349531"</f>
        <v>349531</v>
      </c>
      <c r="B21" s="1" t="str">
        <f>"81983778490"</f>
        <v>81983778490</v>
      </c>
      <c r="C21" t="str">
        <f>"EVERYDAY COUNTER-BIRTHDAY PKG/6-U0480"</f>
        <v>EVERYDAY COUNTER-BIRTHDAY PKG/6-U0480</v>
      </c>
      <c r="D21" t="str">
        <f>"U0480"</f>
        <v>U0480</v>
      </c>
      <c r="E21" t="str">
        <f>"ED24A020"</f>
        <v>ED24A020</v>
      </c>
    </row>
    <row r="22" spans="1:5" x14ac:dyDescent="0.25">
      <c r="A22" t="str">
        <f>"349532"</f>
        <v>349532</v>
      </c>
      <c r="B22" s="1" t="str">
        <f>"81983778506"</f>
        <v>81983778506</v>
      </c>
      <c r="C22" t="str">
        <f>"EVERYDAY COUNTER-BIRTHDAY PKG/6-U0481"</f>
        <v>EVERYDAY COUNTER-BIRTHDAY PKG/6-U0481</v>
      </c>
      <c r="D22" t="str">
        <f>"U0481"</f>
        <v>U0481</v>
      </c>
      <c r="E22" t="str">
        <f>"ED24A021"</f>
        <v>ED24A021</v>
      </c>
    </row>
    <row r="23" spans="1:5" x14ac:dyDescent="0.25">
      <c r="A23" t="str">
        <f>"349520"</f>
        <v>349520</v>
      </c>
      <c r="B23" s="1" t="str">
        <f>"81983778315"</f>
        <v>81983778315</v>
      </c>
      <c r="C23" t="str">
        <f>"EVERYDAY COUNTER-RELATIVE BIRTHDAY PKG/6-U0452"</f>
        <v>EVERYDAY COUNTER-RELATIVE BIRTHDAY PKG/6-U0452</v>
      </c>
      <c r="D23" t="str">
        <f>"U0452"</f>
        <v>U0452</v>
      </c>
      <c r="E23" t="str">
        <f>"ED24A022"</f>
        <v>ED24A022</v>
      </c>
    </row>
    <row r="24" spans="1:5" x14ac:dyDescent="0.25">
      <c r="A24" t="str">
        <f>"279521"</f>
        <v>279521</v>
      </c>
      <c r="B24" s="1" t="str">
        <f>"81983738784"</f>
        <v>81983738784</v>
      </c>
      <c r="C24" t="str">
        <f>"EVERYDAY COUNTER-REL BD ONE I LOVE FEM PKG/6-J5545"</f>
        <v>EVERYDAY COUNTER-REL BD ONE I LOVE FEM PKG/6-J5545</v>
      </c>
      <c r="D24" t="str">
        <f>"J5545"</f>
        <v>J5545</v>
      </c>
      <c r="E24" t="str">
        <f>"ED24A023"</f>
        <v>ED24A023</v>
      </c>
    </row>
    <row r="25" spans="1:5" x14ac:dyDescent="0.25">
      <c r="A25" t="str">
        <f>"349472"</f>
        <v>349472</v>
      </c>
      <c r="B25" s="1" t="str">
        <f>"81983778100"</f>
        <v>81983778100</v>
      </c>
      <c r="C25" t="str">
        <f>"EVERYDAY COUNTER-RELATIVE BIRTHDAY PKG/6-U0431"</f>
        <v>EVERYDAY COUNTER-RELATIVE BIRTHDAY PKG/6-U0431</v>
      </c>
      <c r="D25" t="str">
        <f>"U0431"</f>
        <v>U0431</v>
      </c>
      <c r="E25" t="str">
        <f>"ED24A024"</f>
        <v>ED24A024</v>
      </c>
    </row>
    <row r="26" spans="1:5" x14ac:dyDescent="0.25">
      <c r="A26" t="str">
        <f>"349490"</f>
        <v>349490</v>
      </c>
      <c r="B26" s="1" t="str">
        <f>"81983778131"</f>
        <v>81983778131</v>
      </c>
      <c r="C26" t="str">
        <f>"EVERYDAY COUNTER-RELATIVE BIRTHDAY PKG/6-U0434"</f>
        <v>EVERYDAY COUNTER-RELATIVE BIRTHDAY PKG/6-U0434</v>
      </c>
      <c r="D26" t="str">
        <f>"U0434"</f>
        <v>U0434</v>
      </c>
      <c r="E26" t="str">
        <f>"ED24A025"</f>
        <v>ED24A025</v>
      </c>
    </row>
    <row r="27" spans="1:5" x14ac:dyDescent="0.25">
      <c r="A27" t="str">
        <f>"279750"</f>
        <v>279750</v>
      </c>
      <c r="B27" s="1" t="str">
        <f>"81983773914"</f>
        <v>81983773914</v>
      </c>
      <c r="C27" t="str">
        <f>"EVERYDAY COUNTER-RELATIVE BD MOTHER PKG/6-J9038"</f>
        <v>EVERYDAY COUNTER-RELATIVE BD MOTHER PKG/6-J9038</v>
      </c>
      <c r="D27" t="str">
        <f>"J9038"</f>
        <v>J9038</v>
      </c>
      <c r="E27" t="str">
        <f>"ED24A026"</f>
        <v>ED24A026</v>
      </c>
    </row>
    <row r="28" spans="1:5" x14ac:dyDescent="0.25">
      <c r="A28" t="str">
        <f>"349457"</f>
        <v>349457</v>
      </c>
      <c r="B28" s="1" t="str">
        <f>"81983778032"</f>
        <v>81983778032</v>
      </c>
      <c r="C28" t="str">
        <f>"EVERYDAY COUNTER-RELATIVE BIRTHDAY PKG/6-U0424"</f>
        <v>EVERYDAY COUNTER-RELATIVE BIRTHDAY PKG/6-U0424</v>
      </c>
      <c r="D28" t="str">
        <f>"U0424"</f>
        <v>U0424</v>
      </c>
      <c r="E28" t="str">
        <f>"ED24A027"</f>
        <v>ED24A027</v>
      </c>
    </row>
    <row r="29" spans="1:5" x14ac:dyDescent="0.25">
      <c r="A29" t="str">
        <f>"349533"</f>
        <v>349533</v>
      </c>
      <c r="B29" s="1" t="str">
        <f>"81983778513"</f>
        <v>81983778513</v>
      </c>
      <c r="C29" t="str">
        <f>"EVERYDAY COUNTER-BIRTHDAY PKG/6-U0482"</f>
        <v>EVERYDAY COUNTER-BIRTHDAY PKG/6-U0482</v>
      </c>
      <c r="D29" t="str">
        <f>"U0482"</f>
        <v>U0482</v>
      </c>
      <c r="E29" t="str">
        <f>"ED24A028"</f>
        <v>ED24A028</v>
      </c>
    </row>
    <row r="30" spans="1:5" x14ac:dyDescent="0.25">
      <c r="A30" t="str">
        <f>"349534"</f>
        <v>349534</v>
      </c>
      <c r="B30" s="1" t="str">
        <f>"81983778520"</f>
        <v>81983778520</v>
      </c>
      <c r="C30" t="str">
        <f>"EVERYDAY COUNTER-BIRTHDAY PKG/6-U0483"</f>
        <v>EVERYDAY COUNTER-BIRTHDAY PKG/6-U0483</v>
      </c>
      <c r="D30" t="str">
        <f>"U0483"</f>
        <v>U0483</v>
      </c>
      <c r="E30" t="str">
        <f>"ED24A029"</f>
        <v>ED24A029</v>
      </c>
    </row>
    <row r="31" spans="1:5" x14ac:dyDescent="0.25">
      <c r="A31" t="str">
        <f>"308329"</f>
        <v>308329</v>
      </c>
      <c r="B31" s="1" t="str">
        <f>"81983685736"</f>
        <v>81983685736</v>
      </c>
      <c r="C31" t="str">
        <f>"EVERYDAY COUNTER-BIRTHDAY WIFE PKG/6-J0359"</f>
        <v>EVERYDAY COUNTER-BIRTHDAY WIFE PKG/6-J0359</v>
      </c>
      <c r="D31" t="str">
        <f>"J0359"</f>
        <v>J0359</v>
      </c>
      <c r="E31" t="str">
        <f>"ED24A030"</f>
        <v>ED24A030</v>
      </c>
    </row>
    <row r="32" spans="1:5" x14ac:dyDescent="0.25">
      <c r="A32" t="str">
        <f>"349508"</f>
        <v>349508</v>
      </c>
      <c r="B32" s="1" t="str">
        <f>"81983778209"</f>
        <v>81983778209</v>
      </c>
      <c r="C32" t="str">
        <f>"EVERYDAY COUNTER-RELATIVE BIRTHDAY PKG/6-U0441"</f>
        <v>EVERYDAY COUNTER-RELATIVE BIRTHDAY PKG/6-U0441</v>
      </c>
      <c r="D32" t="str">
        <f>"U0441"</f>
        <v>U0441</v>
      </c>
      <c r="E32" t="str">
        <f>"ED24A031"</f>
        <v>ED24A031</v>
      </c>
    </row>
    <row r="33" spans="1:5" x14ac:dyDescent="0.25">
      <c r="A33" t="str">
        <f>"308416"</f>
        <v>308416</v>
      </c>
      <c r="B33" s="1" t="str">
        <f>"81983715266"</f>
        <v>81983715266</v>
      </c>
      <c r="C33" t="str">
        <f>"EVERYDAY COUNTER-RELATIVE BD HUSBAND PKG/6-J2752"</f>
        <v>EVERYDAY COUNTER-RELATIVE BD HUSBAND PKG/6-J2752</v>
      </c>
      <c r="D33" t="str">
        <f>"J2752"</f>
        <v>J2752</v>
      </c>
      <c r="E33" t="str">
        <f>"ED24A032"</f>
        <v>ED24A032</v>
      </c>
    </row>
    <row r="34" spans="1:5" x14ac:dyDescent="0.25">
      <c r="A34" t="str">
        <f>"349491"</f>
        <v>349491</v>
      </c>
      <c r="B34" s="1" t="str">
        <f>"81983778124"</f>
        <v>81983778124</v>
      </c>
      <c r="C34" t="str">
        <f>"EVERYDAY COUNTER-RELATIVE BIRTHDAY PKG/6-U0433"</f>
        <v>EVERYDAY COUNTER-RELATIVE BIRTHDAY PKG/6-U0433</v>
      </c>
      <c r="D34" t="str">
        <f>"U0433"</f>
        <v>U0433</v>
      </c>
      <c r="E34" t="str">
        <f>"ED24A033"</f>
        <v>ED24A033</v>
      </c>
    </row>
    <row r="35" spans="1:5" x14ac:dyDescent="0.25">
      <c r="A35" t="str">
        <f>"279516"</f>
        <v>279516</v>
      </c>
      <c r="B35" s="1" t="str">
        <f>"81983738739"</f>
        <v>81983738739</v>
      </c>
      <c r="C35" t="str">
        <f>"EVERYDAY COUNTER-REL BD STEP MOTHER PKG/6-J5540"</f>
        <v>EVERYDAY COUNTER-REL BD STEP MOTHER PKG/6-J5540</v>
      </c>
      <c r="D35" t="str">
        <f>"J5540"</f>
        <v>J5540</v>
      </c>
      <c r="E35" t="str">
        <f>"ED24A034"</f>
        <v>ED24A034</v>
      </c>
    </row>
    <row r="36" spans="1:5" x14ac:dyDescent="0.25">
      <c r="A36" t="str">
        <f>"298687"</f>
        <v>298687</v>
      </c>
      <c r="B36" s="1" t="str">
        <f>"81983652103"</f>
        <v>81983652103</v>
      </c>
      <c r="C36" t="str">
        <f>"EVERYDAY COUNTER-BIRTHDAY DAUGHTER PKG/6-10259"</f>
        <v>EVERYDAY COUNTER-BIRTHDAY DAUGHTER PKG/6-10259</v>
      </c>
      <c r="D36" t="str">
        <f>"10259"</f>
        <v>10259</v>
      </c>
      <c r="E36" t="str">
        <f>"ED24A035"</f>
        <v>ED24A035</v>
      </c>
    </row>
    <row r="37" spans="1:5" x14ac:dyDescent="0.25">
      <c r="A37" t="str">
        <f>"349454"</f>
        <v>349454</v>
      </c>
      <c r="B37" s="1" t="str">
        <f>"81983778025"</f>
        <v>81983778025</v>
      </c>
      <c r="C37" t="str">
        <f>"EVERYDAY COUNTER-RELATIVE BIRTHDAY PKG/6-U0423"</f>
        <v>EVERYDAY COUNTER-RELATIVE BIRTHDAY PKG/6-U0423</v>
      </c>
      <c r="D37" t="str">
        <f>"U0423"</f>
        <v>U0423</v>
      </c>
      <c r="E37" t="str">
        <f>"ED24A036"</f>
        <v>ED24A036</v>
      </c>
    </row>
    <row r="38" spans="1:5" x14ac:dyDescent="0.25">
      <c r="A38" t="str">
        <f>"279492"</f>
        <v>279492</v>
      </c>
      <c r="B38" s="1" t="str">
        <f>"81983738555"</f>
        <v>81983738555</v>
      </c>
      <c r="C38" t="str">
        <f>"EVERYDAY COUNTER-REL BD GRANDDAUGHTER ADULT PKG/6-J5522"</f>
        <v>EVERYDAY COUNTER-REL BD GRANDDAUGHTER ADULT PKG/6-J5522</v>
      </c>
      <c r="D38" t="str">
        <f>"J5522"</f>
        <v>J5522</v>
      </c>
      <c r="E38" t="str">
        <f>"ED24A037"</f>
        <v>ED24A037</v>
      </c>
    </row>
    <row r="39" spans="1:5" x14ac:dyDescent="0.25">
      <c r="A39" t="str">
        <f>"298665"</f>
        <v>298665</v>
      </c>
      <c r="B39" s="1" t="str">
        <f>"81983774232"</f>
        <v>81983774232</v>
      </c>
      <c r="C39" t="str">
        <f>"EVERYDAY COUNTER-BDAY WIFE PKG/6-10229"</f>
        <v>EVERYDAY COUNTER-BDAY WIFE PKG/6-10229</v>
      </c>
      <c r="D39" t="str">
        <f>"10229"</f>
        <v>10229</v>
      </c>
      <c r="E39" t="str">
        <f>"ED24A038"</f>
        <v>ED24A038</v>
      </c>
    </row>
    <row r="40" spans="1:5" x14ac:dyDescent="0.25">
      <c r="A40" t="str">
        <f>"308320"</f>
        <v>308320</v>
      </c>
      <c r="B40" s="1" t="str">
        <f>"81983685644"</f>
        <v>81983685644</v>
      </c>
      <c r="C40" t="str">
        <f>"EVERYDAY COUNTER-BIRTHDAY SPOUSE PKG/6-J0350"</f>
        <v>EVERYDAY COUNTER-BIRTHDAY SPOUSE PKG/6-J0350</v>
      </c>
      <c r="D40" t="str">
        <f>"J0350"</f>
        <v>J0350</v>
      </c>
      <c r="E40" t="str">
        <f>"ED24A039"</f>
        <v>ED24A039</v>
      </c>
    </row>
    <row r="41" spans="1:5" x14ac:dyDescent="0.25">
      <c r="A41" t="str">
        <f>"308309"</f>
        <v>308309</v>
      </c>
      <c r="B41" s="1" t="str">
        <f>"81983685521"</f>
        <v>81983685521</v>
      </c>
      <c r="C41" t="str">
        <f>"EVERYDAY COUNTER-BIRTHDAY HUSBAND PKG/6-J0338"</f>
        <v>EVERYDAY COUNTER-BIRTHDAY HUSBAND PKG/6-J0338</v>
      </c>
      <c r="D41" t="str">
        <f>"J0338"</f>
        <v>J0338</v>
      </c>
      <c r="E41" t="str">
        <f>"ED24A040"</f>
        <v>ED24A040</v>
      </c>
    </row>
    <row r="42" spans="1:5" x14ac:dyDescent="0.25">
      <c r="A42" t="str">
        <f>"308418"</f>
        <v>308418</v>
      </c>
      <c r="B42" s="1" t="str">
        <f>"81983773853"</f>
        <v>81983773853</v>
      </c>
      <c r="C42" t="str">
        <f>"EVERYDAY COUNTER-RELATIVE BD MOM PKG/6-J2754"</f>
        <v>EVERYDAY COUNTER-RELATIVE BD MOM PKG/6-J2754</v>
      </c>
      <c r="D42" t="str">
        <f>"J2754"</f>
        <v>J2754</v>
      </c>
      <c r="E42" t="str">
        <f>"ED24A041"</f>
        <v>ED24A041</v>
      </c>
    </row>
    <row r="43" spans="1:5" x14ac:dyDescent="0.25">
      <c r="A43" t="str">
        <f>"279758"</f>
        <v>279758</v>
      </c>
      <c r="B43" s="1" t="str">
        <f>"81983764332"</f>
        <v>81983764332</v>
      </c>
      <c r="C43" t="str">
        <f>"EVERYDAY COUNTER-RELATIVE BD SISTER PKG/6-J9044"</f>
        <v>EVERYDAY COUNTER-RELATIVE BD SISTER PKG/6-J9044</v>
      </c>
      <c r="D43" t="str">
        <f>"J9044"</f>
        <v>J9044</v>
      </c>
      <c r="E43" t="str">
        <f>"ED24A042"</f>
        <v>ED24A042</v>
      </c>
    </row>
    <row r="44" spans="1:5" x14ac:dyDescent="0.25">
      <c r="A44" t="str">
        <f>"349456"</f>
        <v>349456</v>
      </c>
      <c r="B44" s="1" t="str">
        <f>"81983778018"</f>
        <v>81983778018</v>
      </c>
      <c r="C44" t="str">
        <f>"EVERYDAY COUNTER-RELATIVE BIRTHDAY PKG/6-U0422"</f>
        <v>EVERYDAY COUNTER-RELATIVE BIRTHDAY PKG/6-U0422</v>
      </c>
      <c r="D44" t="str">
        <f>"U0422"</f>
        <v>U0422</v>
      </c>
      <c r="E44" t="str">
        <f>"ED24A043"</f>
        <v>ED24A043</v>
      </c>
    </row>
    <row r="45" spans="1:5" x14ac:dyDescent="0.25">
      <c r="A45" t="str">
        <f>"279733"</f>
        <v>279733</v>
      </c>
      <c r="B45" s="1" t="str">
        <f>"81983773600"</f>
        <v>81983773600</v>
      </c>
      <c r="C45" t="str">
        <f>"EVERYDAY COUNTER-RELATIVE BD DAUGHTER TEEN PKG/6-J9023"</f>
        <v>EVERYDAY COUNTER-RELATIVE BD DAUGHTER TEEN PKG/6-J9023</v>
      </c>
      <c r="D45" t="str">
        <f>"J9023"</f>
        <v>J9023</v>
      </c>
      <c r="E45" t="str">
        <f>"ED24A044"</f>
        <v>ED24A044</v>
      </c>
    </row>
    <row r="46" spans="1:5" x14ac:dyDescent="0.25">
      <c r="A46" t="str">
        <f>"279496"</f>
        <v>279496</v>
      </c>
      <c r="B46" s="1" t="str">
        <f>"81983773679"</f>
        <v>81983773679</v>
      </c>
      <c r="C46" t="str">
        <f>"EVERYDAY COUNTER-REL BIRTHDAY GRANDMA PKG/6-J5526"</f>
        <v>EVERYDAY COUNTER-REL BIRTHDAY GRANDMA PKG/6-J5526</v>
      </c>
      <c r="D46" t="str">
        <f>"J5526"</f>
        <v>J5526</v>
      </c>
      <c r="E46" t="str">
        <f>"ED24A045"</f>
        <v>ED24A045</v>
      </c>
    </row>
    <row r="47" spans="1:5" x14ac:dyDescent="0.25">
      <c r="A47" t="str">
        <f>"298666"</f>
        <v>298666</v>
      </c>
      <c r="B47" s="1" t="str">
        <f>"81983774225"</f>
        <v>81983774225</v>
      </c>
      <c r="C47" t="str">
        <f>"EVERYDAY COUNTER-BDAY WIFE PKG/6-10230"</f>
        <v>EVERYDAY COUNTER-BDAY WIFE PKG/6-10230</v>
      </c>
      <c r="D47" t="str">
        <f>"10230"</f>
        <v>10230</v>
      </c>
      <c r="E47" t="str">
        <f>"ED24A046"</f>
        <v>ED24A046</v>
      </c>
    </row>
    <row r="48" spans="1:5" x14ac:dyDescent="0.25">
      <c r="A48" t="str">
        <f>"308319"</f>
        <v>308319</v>
      </c>
      <c r="B48" s="1" t="str">
        <f>"81983685637"</f>
        <v>81983685637</v>
      </c>
      <c r="C48" t="str">
        <f>"EVERYDAY COUNTER-BIRTHDAY FOR HIM PKG/6-J0349"</f>
        <v>EVERYDAY COUNTER-BIRTHDAY FOR HIM PKG/6-J0349</v>
      </c>
      <c r="D48" t="str">
        <f>"J0349"</f>
        <v>J0349</v>
      </c>
      <c r="E48" t="str">
        <f>"ED24A047"</f>
        <v>ED24A047</v>
      </c>
    </row>
    <row r="49" spans="1:5" x14ac:dyDescent="0.25">
      <c r="A49" t="str">
        <f>"298690"</f>
        <v>298690</v>
      </c>
      <c r="B49" s="1" t="str">
        <f>"81983773808"</f>
        <v>81983773808</v>
      </c>
      <c r="C49" t="str">
        <f>"EVERYDAY COUNTER-BIRTHDAY HUSBAND PKG/6-10266"</f>
        <v>EVERYDAY COUNTER-BIRTHDAY HUSBAND PKG/6-10266</v>
      </c>
      <c r="D49" t="str">
        <f>"10266"</f>
        <v>10266</v>
      </c>
      <c r="E49" t="str">
        <f>"ED24A048"</f>
        <v>ED24A048</v>
      </c>
    </row>
    <row r="50" spans="1:5" x14ac:dyDescent="0.25">
      <c r="A50" t="str">
        <f>"279746"</f>
        <v>279746</v>
      </c>
      <c r="B50" s="1" t="str">
        <f>"81983773822"</f>
        <v>81983773822</v>
      </c>
      <c r="C50" t="str">
        <f>"EVERYDAY COUNTER-RELATIVE BD MOM PKG/6-J9035"</f>
        <v>EVERYDAY COUNTER-RELATIVE BD MOM PKG/6-J9035</v>
      </c>
      <c r="D50" t="str">
        <f>"J9035"</f>
        <v>J9035</v>
      </c>
      <c r="E50" t="str">
        <f>"ED24A049"</f>
        <v>ED24A049</v>
      </c>
    </row>
    <row r="51" spans="1:5" x14ac:dyDescent="0.25">
      <c r="A51" t="str">
        <f>"298694"</f>
        <v>298694</v>
      </c>
      <c r="B51" s="1" t="str">
        <f>"81983652257"</f>
        <v>81983652257</v>
      </c>
      <c r="C51" t="str">
        <f>"EVERYDAY COUNTER-BIRTHDAY SISTER PKG/6-10271"</f>
        <v>EVERYDAY COUNTER-BIRTHDAY SISTER PKG/6-10271</v>
      </c>
      <c r="D51" t="str">
        <f>"10271"</f>
        <v>10271</v>
      </c>
      <c r="E51" t="str">
        <f>"ED24A050"</f>
        <v>ED24A050</v>
      </c>
    </row>
    <row r="52" spans="1:5" x14ac:dyDescent="0.25">
      <c r="A52" t="str">
        <f>"307971"</f>
        <v>307971</v>
      </c>
      <c r="B52" s="1" t="str">
        <f>"81983618635"</f>
        <v>81983618635</v>
      </c>
      <c r="C52" t="str">
        <f>"EVERYDAY COUNTER-DAUGHTER BIRTHDAY-55111"</f>
        <v>EVERYDAY COUNTER-DAUGHTER BIRTHDAY-55111</v>
      </c>
      <c r="D52" t="str">
        <f>"55111"</f>
        <v>55111</v>
      </c>
      <c r="E52" t="str">
        <f>"ED24A051"</f>
        <v>ED24A051</v>
      </c>
    </row>
    <row r="53" spans="1:5" x14ac:dyDescent="0.25">
      <c r="A53" t="str">
        <f>"307930"</f>
        <v>307930</v>
      </c>
      <c r="B53" s="1" t="str">
        <f>"81983612954"</f>
        <v>81983612954</v>
      </c>
      <c r="C53" t="str">
        <f>"EVERYDAY COUNTER-DAUGHTER BIRTHDAY pkg/4-44464"</f>
        <v>EVERYDAY COUNTER-DAUGHTER BIRTHDAY pkg/4-44464</v>
      </c>
      <c r="D53" t="str">
        <f>"44464"</f>
        <v>44464</v>
      </c>
      <c r="E53" t="str">
        <f>"ED24A052"</f>
        <v>ED24A052</v>
      </c>
    </row>
    <row r="54" spans="1:5" x14ac:dyDescent="0.25">
      <c r="A54" t="str">
        <f>"279497"</f>
        <v>279497</v>
      </c>
      <c r="B54" s="1" t="str">
        <f>"81983738609"</f>
        <v>81983738609</v>
      </c>
      <c r="C54" t="str">
        <f>"EVERYDAY COUNTER-REL BIRTHDAY GRANDMA PKG/6-J5527"</f>
        <v>EVERYDAY COUNTER-REL BIRTHDAY GRANDMA PKG/6-J5527</v>
      </c>
      <c r="D54" t="str">
        <f>"J5527"</f>
        <v>J5527</v>
      </c>
      <c r="E54" t="str">
        <f>"ED24A053"</f>
        <v>ED24A053</v>
      </c>
    </row>
    <row r="55" spans="1:5" x14ac:dyDescent="0.25">
      <c r="A55" t="str">
        <f>"279770"</f>
        <v>279770</v>
      </c>
      <c r="B55" s="1" t="str">
        <f>"81983774201"</f>
        <v>81983774201</v>
      </c>
      <c r="C55" t="str">
        <f>"EVERYDAY COUNTER-RELATIVE BD WIFE PKG/6-J9053"</f>
        <v>EVERYDAY COUNTER-RELATIVE BD WIFE PKG/6-J9053</v>
      </c>
      <c r="D55" t="str">
        <f>"J9053"</f>
        <v>J9053</v>
      </c>
      <c r="E55" t="str">
        <f>"ED24A054"</f>
        <v>ED24A054</v>
      </c>
    </row>
    <row r="56" spans="1:5" x14ac:dyDescent="0.25">
      <c r="A56" t="str">
        <f>"279753"</f>
        <v>279753</v>
      </c>
      <c r="B56" s="1" t="str">
        <f>"81983773969"</f>
        <v>81983773969</v>
      </c>
      <c r="C56" t="str">
        <f>"EVERYDAY COUNTER-RELATIVE BD ONE I LOVE MASC PKG/6-J9041"</f>
        <v>EVERYDAY COUNTER-RELATIVE BD ONE I LOVE MASC PKG/6-J9041</v>
      </c>
      <c r="D56" t="str">
        <f>"J9041"</f>
        <v>J9041</v>
      </c>
      <c r="E56" t="str">
        <f>"ED24A055"</f>
        <v>ED24A055</v>
      </c>
    </row>
    <row r="57" spans="1:5" x14ac:dyDescent="0.25">
      <c r="A57" t="str">
        <f>"401603"</f>
        <v>401603</v>
      </c>
      <c r="B57" s="1" t="str">
        <f>"81983738647"</f>
        <v>81983738647</v>
      </c>
      <c r="C57" t="str">
        <f>"EVERYDAY COUNTER-REL BD HUSBAND-NON REL PKG/6-J5531"</f>
        <v>EVERYDAY COUNTER-REL BD HUSBAND-NON REL PKG/6-J5531</v>
      </c>
      <c r="D57" t="str">
        <f>"J5531"</f>
        <v>J5531</v>
      </c>
      <c r="E57" t="str">
        <f>"ED24A056"</f>
        <v>ED24A056</v>
      </c>
    </row>
    <row r="58" spans="1:5" x14ac:dyDescent="0.25">
      <c r="A58" t="str">
        <f>"349487"</f>
        <v>349487</v>
      </c>
      <c r="B58" s="1" t="str">
        <f>"81983778117"</f>
        <v>81983778117</v>
      </c>
      <c r="C58" t="str">
        <f>"EVERYDAY COUNTER-RELATIVE BIRTHDAY PKG/6-U0432"</f>
        <v>EVERYDAY COUNTER-RELATIVE BIRTHDAY PKG/6-U0432</v>
      </c>
      <c r="D58" t="str">
        <f>"U0432"</f>
        <v>U0432</v>
      </c>
      <c r="E58" t="str">
        <f>"ED24A057"</f>
        <v>ED24A057</v>
      </c>
    </row>
    <row r="59" spans="1:5" x14ac:dyDescent="0.25">
      <c r="A59" t="str">
        <f>"308141"</f>
        <v>308141</v>
      </c>
      <c r="B59" s="1" t="str">
        <f>"81983678660"</f>
        <v>81983678660</v>
      </c>
      <c r="C59" t="str">
        <f>"EVERYDAY COUNTER-RELATIVE BIRTHDAY SISTER-82365"</f>
        <v>EVERYDAY COUNTER-RELATIVE BIRTHDAY SISTER-82365</v>
      </c>
      <c r="D59" t="str">
        <f>"82365"</f>
        <v>82365</v>
      </c>
      <c r="E59" t="str">
        <f>"ED24A058"</f>
        <v>ED24A058</v>
      </c>
    </row>
    <row r="60" spans="1:5" x14ac:dyDescent="0.25">
      <c r="A60" t="str">
        <f>"307929"</f>
        <v>307929</v>
      </c>
      <c r="B60" s="1" t="str">
        <f>"81983612947"</f>
        <v>81983612947</v>
      </c>
      <c r="C60" t="str">
        <f>"EVERYDAY COUNTER-RELATIVE BDAY-DAUGHTER-44455"</f>
        <v>EVERYDAY COUNTER-RELATIVE BDAY-DAUGHTER-44455</v>
      </c>
      <c r="D60" t="str">
        <f>"44455"</f>
        <v>44455</v>
      </c>
      <c r="E60" t="str">
        <f>"ED24A059"</f>
        <v>ED24A059</v>
      </c>
    </row>
    <row r="61" spans="1:5" x14ac:dyDescent="0.25">
      <c r="A61" t="str">
        <f>"308299"</f>
        <v>308299</v>
      </c>
      <c r="B61" s="1" t="str">
        <f>"81983685415"</f>
        <v>81983685415</v>
      </c>
      <c r="C61" t="str">
        <f>"EVERYDAY COUNTER-BIRTHDAY DAUGHTER TEEN PKG/6-J0327"</f>
        <v>EVERYDAY COUNTER-BIRTHDAY DAUGHTER TEEN PKG/6-J0327</v>
      </c>
      <c r="D61" t="str">
        <f>"J0327"</f>
        <v>J0327</v>
      </c>
      <c r="E61" t="str">
        <f>"ED24A060"</f>
        <v>ED24A060</v>
      </c>
    </row>
    <row r="62" spans="1:5" x14ac:dyDescent="0.25">
      <c r="A62" t="str">
        <f>"279737"</f>
        <v>279737</v>
      </c>
      <c r="B62" s="1" t="str">
        <f>"81983764165"</f>
        <v>81983764165</v>
      </c>
      <c r="C62" t="str">
        <f>"EVERYDAY COUNTER-RELATIVE BD GRANDDAUGHTER PKG/6-J9027"</f>
        <v>EVERYDAY COUNTER-RELATIVE BD GRANDDAUGHTER PKG/6-J9027</v>
      </c>
      <c r="D62" t="str">
        <f>"J9027"</f>
        <v>J9027</v>
      </c>
      <c r="E62" t="str">
        <f>"ED24A061"</f>
        <v>ED24A061</v>
      </c>
    </row>
    <row r="63" spans="1:5" x14ac:dyDescent="0.25">
      <c r="A63" t="str">
        <f>"349519"</f>
        <v>349519</v>
      </c>
      <c r="B63" s="1" t="str">
        <f>"81983778308"</f>
        <v>81983778308</v>
      </c>
      <c r="C63" t="str">
        <f>"EVERYDAY COUNTER-RELATIVE BIRTHDAY PKG/6-U0451"</f>
        <v>EVERYDAY COUNTER-RELATIVE BIRTHDAY PKG/6-U0451</v>
      </c>
      <c r="D63" t="str">
        <f>"U0451"</f>
        <v>U0451</v>
      </c>
      <c r="E63" t="str">
        <f>"ED24A062"</f>
        <v>ED24A062</v>
      </c>
    </row>
    <row r="64" spans="1:5" x14ac:dyDescent="0.25">
      <c r="A64" t="str">
        <f>"308318"</f>
        <v>308318</v>
      </c>
      <c r="B64" s="1" t="str">
        <f>"81983685620"</f>
        <v>81983685620</v>
      </c>
      <c r="C64" t="str">
        <f>"EVERYDAY COUNTER-BIRTHDAY FOR HIM PKG/6-J0348"</f>
        <v>EVERYDAY COUNTER-BIRTHDAY FOR HIM PKG/6-J0348</v>
      </c>
      <c r="D64" t="str">
        <f>"J0348"</f>
        <v>J0348</v>
      </c>
      <c r="E64" t="str">
        <f>"ED24A063"</f>
        <v>ED24A063</v>
      </c>
    </row>
    <row r="65" spans="1:5" x14ac:dyDescent="0.25">
      <c r="A65" t="str">
        <f>"298689"</f>
        <v>298689</v>
      </c>
      <c r="B65" s="1" t="str">
        <f>"81983652158"</f>
        <v>81983652158</v>
      </c>
      <c r="C65" t="str">
        <f>"EVERYDAY COUNTER-BIRTHDAY HUSBAND PKG/6-10264"</f>
        <v>EVERYDAY COUNTER-BIRTHDAY HUSBAND PKG/6-10264</v>
      </c>
      <c r="D65" t="str">
        <f>"10264"</f>
        <v>10264</v>
      </c>
      <c r="E65" t="str">
        <f>"ED24A064"</f>
        <v>ED24A064</v>
      </c>
    </row>
    <row r="66" spans="1:5" x14ac:dyDescent="0.25">
      <c r="A66" t="str">
        <f>"279508"</f>
        <v>279508</v>
      </c>
      <c r="B66" s="1" t="str">
        <f>"81983773815"</f>
        <v>81983773815</v>
      </c>
      <c r="C66" t="str">
        <f>"EVERYDAY COUNTER-REL BD MOM PKG/6-J5534"</f>
        <v>EVERYDAY COUNTER-REL BD MOM PKG/6-J5534</v>
      </c>
      <c r="D66" t="str">
        <f>"J5534"</f>
        <v>J5534</v>
      </c>
      <c r="E66" t="str">
        <f>"ED24A065"</f>
        <v>ED24A065</v>
      </c>
    </row>
    <row r="67" spans="1:5" x14ac:dyDescent="0.25">
      <c r="A67" t="str">
        <f>"298696"</f>
        <v>298696</v>
      </c>
      <c r="B67" s="1" t="str">
        <f>"81983652288"</f>
        <v>81983652288</v>
      </c>
      <c r="C67" t="str">
        <f>"EVERYDAY COUNTER-BIRTHDAY SISTER PKG/6-10273"</f>
        <v>EVERYDAY COUNTER-BIRTHDAY SISTER PKG/6-10273</v>
      </c>
      <c r="D67" t="str">
        <f>"10273"</f>
        <v>10273</v>
      </c>
      <c r="E67" t="str">
        <f>"ED24A066"</f>
        <v>ED24A066</v>
      </c>
    </row>
    <row r="68" spans="1:5" x14ac:dyDescent="0.25">
      <c r="A68" t="str">
        <f>"308028"</f>
        <v>308028</v>
      </c>
      <c r="B68" s="1" t="str">
        <f>"81983678608"</f>
        <v>81983678608</v>
      </c>
      <c r="C68" t="str">
        <f>"EVERYDAY COUNTER-DAUGHTER (ADULT) BIRTHDAY-66671"</f>
        <v>EVERYDAY COUNTER-DAUGHTER (ADULT) BIRTHDAY-66671</v>
      </c>
      <c r="D68" t="str">
        <f>"66671"</f>
        <v>66671</v>
      </c>
      <c r="E68" t="str">
        <f>"ED24A067"</f>
        <v>ED24A067</v>
      </c>
    </row>
    <row r="69" spans="1:5" x14ac:dyDescent="0.25">
      <c r="A69" t="str">
        <f>"279732"</f>
        <v>279732</v>
      </c>
      <c r="B69" s="1" t="str">
        <f>"81983764110"</f>
        <v>81983764110</v>
      </c>
      <c r="C69" t="str">
        <f>"EVERYDAY COUNTER-RELATIVE BD DAUGHTER JUVENILE PKG/6-J9022"</f>
        <v>EVERYDAY COUNTER-RELATIVE BD DAUGHTER JUVENILE PKG/6-J9022</v>
      </c>
      <c r="D69" t="str">
        <f>"J9022"</f>
        <v>J9022</v>
      </c>
      <c r="E69" t="str">
        <f>"ED24A068"</f>
        <v>ED24A068</v>
      </c>
    </row>
    <row r="70" spans="1:5" x14ac:dyDescent="0.25">
      <c r="A70" t="str">
        <f>"307931"</f>
        <v>307931</v>
      </c>
      <c r="B70" s="1" t="str">
        <f>"81983612992"</f>
        <v>81983612992</v>
      </c>
      <c r="C70" t="str">
        <f>"EVERYDAY COUNTER-RELATIVE BDAY-GRANDDAUGHTER-44470"</f>
        <v>EVERYDAY COUNTER-RELATIVE BDAY-GRANDDAUGHTER-44470</v>
      </c>
      <c r="D70" t="str">
        <f>"44470"</f>
        <v>44470</v>
      </c>
      <c r="E70" t="str">
        <f>"ED24A069"</f>
        <v>ED24A069</v>
      </c>
    </row>
    <row r="71" spans="1:5" x14ac:dyDescent="0.25">
      <c r="A71" t="str">
        <f>"279532"</f>
        <v>279532</v>
      </c>
      <c r="B71" s="1" t="str">
        <f>"81983738883"</f>
        <v>81983738883</v>
      </c>
      <c r="C71" t="str">
        <f>"EVERYDAY COUNTER-REL BD WIFE PKG/6-J5555"</f>
        <v>EVERYDAY COUNTER-REL BD WIFE PKG/6-J5555</v>
      </c>
      <c r="D71" t="str">
        <f>"J5555"</f>
        <v>J5555</v>
      </c>
      <c r="E71" t="str">
        <f>"ED24A070"</f>
        <v>ED24A070</v>
      </c>
    </row>
    <row r="72" spans="1:5" x14ac:dyDescent="0.25">
      <c r="A72" t="str">
        <f>"308406"</f>
        <v>308406</v>
      </c>
      <c r="B72" s="1" t="str">
        <f>"81983715129"</f>
        <v>81983715129</v>
      </c>
      <c r="C72" t="str">
        <f>"EVERYDAY COUNTER-RELATIVE BD AUNT PKG/6-J2738"</f>
        <v>EVERYDAY COUNTER-RELATIVE BD AUNT PKG/6-J2738</v>
      </c>
      <c r="D72" t="str">
        <f>"J2738"</f>
        <v>J2738</v>
      </c>
      <c r="E72" t="str">
        <f>"ED24A071"</f>
        <v>ED24A071</v>
      </c>
    </row>
    <row r="73" spans="1:5" x14ac:dyDescent="0.25">
      <c r="A73" t="str">
        <f>"308415"</f>
        <v>308415</v>
      </c>
      <c r="B73" s="1" t="str">
        <f>"81983715259"</f>
        <v>81983715259</v>
      </c>
      <c r="C73" t="str">
        <f>"EVERYDAY COUNTER-RELATIVE BD HUSBAND PKG/6-J2751"</f>
        <v>EVERYDAY COUNTER-RELATIVE BD HUSBAND PKG/6-J2751</v>
      </c>
      <c r="D73" t="str">
        <f>"J2751"</f>
        <v>J2751</v>
      </c>
      <c r="E73" t="str">
        <f>"ED24A072"</f>
        <v>ED24A072</v>
      </c>
    </row>
    <row r="74" spans="1:5" x14ac:dyDescent="0.25">
      <c r="A74" t="str">
        <f>"308419"</f>
        <v>308419</v>
      </c>
      <c r="B74" s="1" t="str">
        <f>"81983773846"</f>
        <v>81983773846</v>
      </c>
      <c r="C74" t="str">
        <f>"EVERYDAY COUNTER-RELATIVE BD MOM PKG/6-J2757"</f>
        <v>EVERYDAY COUNTER-RELATIVE BD MOM PKG/6-J2757</v>
      </c>
      <c r="D74" t="str">
        <f>"J2757"</f>
        <v>J2757</v>
      </c>
      <c r="E74" t="str">
        <f>"ED24A073"</f>
        <v>ED24A073</v>
      </c>
    </row>
    <row r="75" spans="1:5" x14ac:dyDescent="0.25">
      <c r="A75" t="str">
        <f>"349509"</f>
        <v>349509</v>
      </c>
      <c r="B75" s="1" t="str">
        <f>"81983778216"</f>
        <v>81983778216</v>
      </c>
      <c r="C75" t="str">
        <f>"EVERYDAY COUNTER-RELATIVE BIRTHDAY PKG/6-U0442"</f>
        <v>EVERYDAY COUNTER-RELATIVE BIRTHDAY PKG/6-U0442</v>
      </c>
      <c r="D75" t="str">
        <f>"U0442"</f>
        <v>U0442</v>
      </c>
      <c r="E75" t="str">
        <f>"ED24A074"</f>
        <v>ED24A074</v>
      </c>
    </row>
    <row r="76" spans="1:5" x14ac:dyDescent="0.25">
      <c r="A76" t="str">
        <f>"279729"</f>
        <v>279729</v>
      </c>
      <c r="B76" s="1" t="str">
        <f>"81983764097"</f>
        <v>81983764097</v>
      </c>
      <c r="C76" t="str">
        <f>"EVERYDAY COUNTER-RELATIVE BD DAUGHTER PKG/6-J9020"</f>
        <v>EVERYDAY COUNTER-RELATIVE BD DAUGHTER PKG/6-J9020</v>
      </c>
      <c r="D76" t="str">
        <f>"J9020"</f>
        <v>J9020</v>
      </c>
      <c r="E76" t="str">
        <f>"ED24A075"</f>
        <v>ED24A075</v>
      </c>
    </row>
    <row r="77" spans="1:5" x14ac:dyDescent="0.25">
      <c r="A77" t="str">
        <f>"298761"</f>
        <v>298761</v>
      </c>
      <c r="B77" s="1" t="str">
        <f>"81983773594"</f>
        <v>81983773594</v>
      </c>
      <c r="C77" t="str">
        <f>"EVERYDAY COUNTER-RELATIVE BDAY-DAUGHTER-11770"</f>
        <v>EVERYDAY COUNTER-RELATIVE BDAY-DAUGHTER-11770</v>
      </c>
      <c r="D77" t="str">
        <f>"11770"</f>
        <v>11770</v>
      </c>
      <c r="E77" t="str">
        <f>"ED24A076"</f>
        <v>ED24A076</v>
      </c>
    </row>
    <row r="78" spans="1:5" x14ac:dyDescent="0.25">
      <c r="A78" t="str">
        <f>"298785"</f>
        <v>298785</v>
      </c>
      <c r="B78" s="1" t="str">
        <f>"81983550416"</f>
        <v>81983550416</v>
      </c>
      <c r="C78" t="str">
        <f>"EVERYDAY COUNTER-GRANDDAUGHTER BIRTHDAY-27079"</f>
        <v>EVERYDAY COUNTER-GRANDDAUGHTER BIRTHDAY-27079</v>
      </c>
      <c r="D78" t="str">
        <f>"27079"</f>
        <v>27079</v>
      </c>
      <c r="E78" t="str">
        <f>"ED24A077"</f>
        <v>ED24A077</v>
      </c>
    </row>
    <row r="79" spans="1:5" x14ac:dyDescent="0.25">
      <c r="A79" t="str">
        <f>"279481"</f>
        <v>279481</v>
      </c>
      <c r="B79" s="1" t="str">
        <f>"81983773532"</f>
        <v>81983773532</v>
      </c>
      <c r="C79" t="str">
        <f>"EVERYDAY COUNTER-REL BD AUNT FROM CHILD PKG/6-J5514"</f>
        <v>EVERYDAY COUNTER-REL BD AUNT FROM CHILD PKG/6-J5514</v>
      </c>
      <c r="D79" t="str">
        <f>"J5514"</f>
        <v>J5514</v>
      </c>
      <c r="E79" t="str">
        <f>"ED24A078"</f>
        <v>ED24A078</v>
      </c>
    </row>
    <row r="80" spans="1:5" x14ac:dyDescent="0.25">
      <c r="A80" t="str">
        <f>"349449"</f>
        <v>349449</v>
      </c>
      <c r="B80" s="1" t="str">
        <f>"81983777974"</f>
        <v>81983777974</v>
      </c>
      <c r="C80" t="str">
        <f>"EVERYDAY COUNTER-RELATIVE BIRTHDAY PKG/6-U0418"</f>
        <v>EVERYDAY COUNTER-RELATIVE BIRTHDAY PKG/6-U0418</v>
      </c>
      <c r="D80" t="str">
        <f>"U0418"</f>
        <v>U0418</v>
      </c>
      <c r="E80" t="str">
        <f>"ED24A079"</f>
        <v>ED24A079</v>
      </c>
    </row>
    <row r="81" spans="1:5" x14ac:dyDescent="0.25">
      <c r="A81" t="str">
        <f>"279484"</f>
        <v>279484</v>
      </c>
      <c r="B81" s="1" t="str">
        <f>"81983738494"</f>
        <v>81983738494</v>
      </c>
      <c r="C81" t="str">
        <f>"EVERYDAY COUNTER-REL BD BROTHER PKG/6-J5516"</f>
        <v>EVERYDAY COUNTER-REL BD BROTHER PKG/6-J5516</v>
      </c>
      <c r="D81" t="str">
        <f>"J5516"</f>
        <v>J5516</v>
      </c>
      <c r="E81" t="str">
        <f>"ED24A080"</f>
        <v>ED24A080</v>
      </c>
    </row>
    <row r="82" spans="1:5" x14ac:dyDescent="0.25">
      <c r="A82" t="str">
        <f>"308311"</f>
        <v>308311</v>
      </c>
      <c r="B82" s="1" t="str">
        <f>"81983685545"</f>
        <v>81983685545</v>
      </c>
      <c r="C82" t="str">
        <f>"EVERYDAY COUNTER-BIRTHDAY MOM PKG/6-J0340"</f>
        <v>EVERYDAY COUNTER-BIRTHDAY MOM PKG/6-J0340</v>
      </c>
      <c r="D82" t="str">
        <f>"J0340"</f>
        <v>J0340</v>
      </c>
      <c r="E82" t="str">
        <f>"ED24A081"</f>
        <v>ED24A081</v>
      </c>
    </row>
    <row r="83" spans="1:5" x14ac:dyDescent="0.25">
      <c r="A83" t="str">
        <f>"298695"</f>
        <v>298695</v>
      </c>
      <c r="B83" s="1" t="str">
        <f>"81983652264"</f>
        <v>81983652264</v>
      </c>
      <c r="C83" t="str">
        <f>"EVERYDAY COUNTER-BIRTHDAY SISTER PKG/6-10272"</f>
        <v>EVERYDAY COUNTER-BIRTHDAY SISTER PKG/6-10272</v>
      </c>
      <c r="D83" t="str">
        <f>"10272"</f>
        <v>10272</v>
      </c>
      <c r="E83" t="str">
        <f>"ED24A082"</f>
        <v>ED24A082</v>
      </c>
    </row>
    <row r="84" spans="1:5" x14ac:dyDescent="0.25">
      <c r="A84" t="str">
        <f>"298697"</f>
        <v>298697</v>
      </c>
      <c r="B84" s="1" t="str">
        <f>"81983652295"</f>
        <v>81983652295</v>
      </c>
      <c r="C84" t="str">
        <f>"EVERYDAY COUNTER-BIRTHDAY SISTER PKG/6-10274"</f>
        <v>EVERYDAY COUNTER-BIRTHDAY SISTER PKG/6-10274</v>
      </c>
      <c r="D84" t="str">
        <f>"10274"</f>
        <v>10274</v>
      </c>
      <c r="E84" t="str">
        <f>"ED24A083"</f>
        <v>ED24A083</v>
      </c>
    </row>
    <row r="85" spans="1:5" x14ac:dyDescent="0.25">
      <c r="A85" t="str">
        <f>"349458"</f>
        <v>349458</v>
      </c>
      <c r="B85" s="1" t="str">
        <f>"81983778056"</f>
        <v>81983778056</v>
      </c>
      <c r="C85" t="str">
        <f>"EVERYDAY COUNTER-RELATIVE BIRTHDAY PKG/6-U0426"</f>
        <v>EVERYDAY COUNTER-RELATIVE BIRTHDAY PKG/6-U0426</v>
      </c>
      <c r="D85" t="str">
        <f>"U0426"</f>
        <v>U0426</v>
      </c>
      <c r="E85" t="str">
        <f>"ED24A084"</f>
        <v>ED24A084</v>
      </c>
    </row>
    <row r="86" spans="1:5" x14ac:dyDescent="0.25">
      <c r="A86" t="str">
        <f>"308411"</f>
        <v>308411</v>
      </c>
      <c r="B86" s="1" t="str">
        <f>"81983715204"</f>
        <v>81983715204</v>
      </c>
      <c r="C86" t="str">
        <f>"EVERYDAY COUNTER-RELATIVE BD GRANDDAUGHTER - A PKG/6-J2746"</f>
        <v>EVERYDAY COUNTER-RELATIVE BD GRANDDAUGHTER - A PKG/6-J2746</v>
      </c>
      <c r="D86" t="str">
        <f>"J2746"</f>
        <v>J2746</v>
      </c>
      <c r="E86" t="str">
        <f>"ED24A085"</f>
        <v>ED24A085</v>
      </c>
    </row>
    <row r="87" spans="1:5" x14ac:dyDescent="0.25">
      <c r="A87" t="str">
        <f>"308303"</f>
        <v>308303</v>
      </c>
      <c r="B87" s="1" t="str">
        <f>"81983773648"</f>
        <v>81983773648</v>
      </c>
      <c r="C87" t="str">
        <f>"EVERYDAY COUNTER-BIRTHDAY GRANDDAUGHTER PKG/6-J0333"</f>
        <v>EVERYDAY COUNTER-BIRTHDAY GRANDDAUGHTER PKG/6-J0333</v>
      </c>
      <c r="D87" t="str">
        <f>"J0333"</f>
        <v>J0333</v>
      </c>
      <c r="E87" t="str">
        <f>"ED24A086"</f>
        <v>ED24A086</v>
      </c>
    </row>
    <row r="88" spans="1:5" x14ac:dyDescent="0.25">
      <c r="A88" t="str">
        <f>"308003"</f>
        <v>308003</v>
      </c>
      <c r="B88" s="1" t="str">
        <f>"81983618994"</f>
        <v>81983618994</v>
      </c>
      <c r="C88" t="str">
        <f>"EVERYDAY COUNTER-REL BDAY-NIECE-55904"</f>
        <v>EVERYDAY COUNTER-REL BDAY-NIECE-55904</v>
      </c>
      <c r="D88" t="str">
        <f>"55904"</f>
        <v>55904</v>
      </c>
      <c r="E88" t="str">
        <f>"ED24A087"</f>
        <v>ED24A087</v>
      </c>
    </row>
    <row r="89" spans="1:5" x14ac:dyDescent="0.25">
      <c r="A89" t="str">
        <f>"279531"</f>
        <v>279531</v>
      </c>
      <c r="B89" s="1" t="str">
        <f>"81983738876"</f>
        <v>81983738876</v>
      </c>
      <c r="C89" t="str">
        <f>"EVERYDAY COUNTER-REL BD UNCLE PKG/6-J5554"</f>
        <v>EVERYDAY COUNTER-REL BD UNCLE PKG/6-J5554</v>
      </c>
      <c r="D89" t="str">
        <f>"J5554"</f>
        <v>J5554</v>
      </c>
      <c r="E89" t="str">
        <f>"ED24A088"</f>
        <v>ED24A088</v>
      </c>
    </row>
    <row r="90" spans="1:5" x14ac:dyDescent="0.25">
      <c r="A90" t="str">
        <f>"308296"</f>
        <v>308296</v>
      </c>
      <c r="B90" s="1" t="str">
        <f>"81983685385"</f>
        <v>81983685385</v>
      </c>
      <c r="C90" t="str">
        <f>"EVERYDAY COUNTER-BIRTHDAY BROTHER PKG/6-J0324"</f>
        <v>EVERYDAY COUNTER-BIRTHDAY BROTHER PKG/6-J0324</v>
      </c>
      <c r="D90" t="str">
        <f>"J0324"</f>
        <v>J0324</v>
      </c>
      <c r="E90" t="str">
        <f>"ED24A089"</f>
        <v>ED24A089</v>
      </c>
    </row>
    <row r="91" spans="1:5" x14ac:dyDescent="0.25">
      <c r="A91" t="str">
        <f>"380075"</f>
        <v>380075</v>
      </c>
      <c r="B91" s="1" t="str">
        <f>"81983603631"</f>
        <v>81983603631</v>
      </c>
      <c r="C91" t="str">
        <f>"EVERYDAY COUNTER-BIRTHDAY MOM PKG/6-27204"</f>
        <v>EVERYDAY COUNTER-BIRTHDAY MOM PKG/6-27204</v>
      </c>
      <c r="D91" t="str">
        <f>"27204"</f>
        <v>27204</v>
      </c>
      <c r="E91" t="str">
        <f>"ED24A090"</f>
        <v>ED24A090</v>
      </c>
    </row>
    <row r="92" spans="1:5" x14ac:dyDescent="0.25">
      <c r="A92" t="str">
        <f>"307961"</f>
        <v>307961</v>
      </c>
      <c r="B92" s="1" t="str">
        <f>"81983678530"</f>
        <v>81983678530</v>
      </c>
      <c r="C92" t="str">
        <f>"EVERYDAY COUNTER-REL BDAY-SISTER-55101"</f>
        <v>EVERYDAY COUNTER-REL BDAY-SISTER-55101</v>
      </c>
      <c r="D92" t="str">
        <f>"55101"</f>
        <v>55101</v>
      </c>
      <c r="E92" t="str">
        <f>"ED24A091"</f>
        <v>ED24A091</v>
      </c>
    </row>
    <row r="93" spans="1:5" x14ac:dyDescent="0.25">
      <c r="A93" t="str">
        <f>"349511"</f>
        <v>349511</v>
      </c>
      <c r="B93" s="1" t="str">
        <f>"81983778230"</f>
        <v>81983778230</v>
      </c>
      <c r="C93" t="str">
        <f>"EVERYDAY COUNTER-RELATIVE BIRTHDAY PKG/6-U0444"</f>
        <v>EVERYDAY COUNTER-RELATIVE BIRTHDAY PKG/6-U0444</v>
      </c>
      <c r="D93" t="str">
        <f>"U0444"</f>
        <v>U0444</v>
      </c>
      <c r="E93" t="str">
        <f>"ED24A092"</f>
        <v>ED24A092</v>
      </c>
    </row>
    <row r="94" spans="1:5" x14ac:dyDescent="0.25">
      <c r="A94" t="str">
        <f>"279731"</f>
        <v>279731</v>
      </c>
      <c r="B94" s="1" t="str">
        <f>"81983764103"</f>
        <v>81983764103</v>
      </c>
      <c r="C94" t="str">
        <f>"EVERYDAY COUNTER-RELATIVE BD DAUGHT IN LAW PKG/6-J9021"</f>
        <v>EVERYDAY COUNTER-RELATIVE BD DAUGHT IN LAW PKG/6-J9021</v>
      </c>
      <c r="D94" t="str">
        <f>"J9021"</f>
        <v>J9021</v>
      </c>
      <c r="E94" t="str">
        <f>"ED24A093"</f>
        <v>ED24A093</v>
      </c>
    </row>
    <row r="95" spans="1:5" x14ac:dyDescent="0.25">
      <c r="A95" t="str">
        <f>"308098"</f>
        <v>308098</v>
      </c>
      <c r="B95" s="1" t="str">
        <f>"81983644085"</f>
        <v>81983644085</v>
      </c>
      <c r="C95" t="str">
        <f>"EVERYDAY COUNTER-BDAY GRANDDAUGHTER-76278"</f>
        <v>EVERYDAY COUNTER-BDAY GRANDDAUGHTER-76278</v>
      </c>
      <c r="D95" t="str">
        <f>"76278"</f>
        <v>76278</v>
      </c>
      <c r="E95" t="str">
        <f>"ED24A094"</f>
        <v>ED24A094</v>
      </c>
    </row>
    <row r="96" spans="1:5" x14ac:dyDescent="0.25">
      <c r="A96" t="str">
        <f>"308189"</f>
        <v>308189</v>
      </c>
      <c r="B96" s="1" t="str">
        <f>"81983583803"</f>
        <v>81983583803</v>
      </c>
      <c r="C96" t="str">
        <f>"EVERYDAY COUNTER-FOR A SPECIAL GRANDDAUGHTER-88746"</f>
        <v>EVERYDAY COUNTER-FOR A SPECIAL GRANDDAUGHTER-88746</v>
      </c>
      <c r="D96" t="str">
        <f>"88746"</f>
        <v>88746</v>
      </c>
      <c r="E96" t="str">
        <f>"ED24A095"</f>
        <v>ED24A095</v>
      </c>
    </row>
    <row r="97" spans="1:5" x14ac:dyDescent="0.25">
      <c r="A97" t="str">
        <f>"279752"</f>
        <v>279752</v>
      </c>
      <c r="B97" s="1" t="str">
        <f>"81983764295"</f>
        <v>81983764295</v>
      </c>
      <c r="C97" t="str">
        <f>"EVERYDAY COUNTER-RELATIVE BD NIECE ADULT PKG/6-J9040"</f>
        <v>EVERYDAY COUNTER-RELATIVE BD NIECE ADULT PKG/6-J9040</v>
      </c>
      <c r="D97" t="str">
        <f>"J9040"</f>
        <v>J9040</v>
      </c>
      <c r="E97" t="str">
        <f>"ED24A096"</f>
        <v>ED24A096</v>
      </c>
    </row>
    <row r="98" spans="1:5" x14ac:dyDescent="0.25">
      <c r="A98" t="str">
        <f>"279530"</f>
        <v>279530</v>
      </c>
      <c r="B98" s="1" t="str">
        <f>"81983738869"</f>
        <v>81983738869</v>
      </c>
      <c r="C98" t="str">
        <f>"EVERYDAY COUNTER-REL BD UNCLE FROM CHILD PKG/6-J5553"</f>
        <v>EVERYDAY COUNTER-REL BD UNCLE FROM CHILD PKG/6-J5553</v>
      </c>
      <c r="D98" t="str">
        <f>"J5553"</f>
        <v>J5553</v>
      </c>
      <c r="E98" t="str">
        <f>"ED24A097"</f>
        <v>ED24A097</v>
      </c>
    </row>
    <row r="99" spans="1:5" x14ac:dyDescent="0.25">
      <c r="A99" t="str">
        <f>"279726"</f>
        <v>279726</v>
      </c>
      <c r="B99" s="1" t="str">
        <f>"81983764066"</f>
        <v>81983764066</v>
      </c>
      <c r="C99" t="str">
        <f>"EVERYDAY COUNTER-RELATIVE BD BROTHER PKG/6-J9017"</f>
        <v>EVERYDAY COUNTER-RELATIVE BD BROTHER PKG/6-J9017</v>
      </c>
      <c r="D99" t="str">
        <f>"J9017"</f>
        <v>J9017</v>
      </c>
      <c r="E99" t="str">
        <f>"ED24A098"</f>
        <v>ED24A098</v>
      </c>
    </row>
    <row r="100" spans="1:5" x14ac:dyDescent="0.25">
      <c r="A100" t="str">
        <f>"279515"</f>
        <v>279515</v>
      </c>
      <c r="B100" s="1" t="str">
        <f>"81983738722"</f>
        <v>81983738722</v>
      </c>
      <c r="C100" t="str">
        <f>"EVERYDAY COUNTER-REL BD  MOTHER-IN-LAW PKG/6-J5539"</f>
        <v>EVERYDAY COUNTER-REL BD  MOTHER-IN-LAW PKG/6-J5539</v>
      </c>
      <c r="D100" t="str">
        <f>"J5539"</f>
        <v>J5539</v>
      </c>
      <c r="E100" t="str">
        <f>"ED24A099"</f>
        <v>ED24A099</v>
      </c>
    </row>
    <row r="101" spans="1:5" x14ac:dyDescent="0.25">
      <c r="A101" t="str">
        <f>"349512"</f>
        <v>349512</v>
      </c>
      <c r="B101" s="1" t="str">
        <f>"81983778223"</f>
        <v>81983778223</v>
      </c>
      <c r="C101" t="str">
        <f>"EVERYDAY COUNTER-RELATIVE BIRTHDAY PKG/6-U0443"</f>
        <v>EVERYDAY COUNTER-RELATIVE BIRTHDAY PKG/6-U0443</v>
      </c>
      <c r="D101" t="str">
        <f>"U0443"</f>
        <v>U0443</v>
      </c>
      <c r="E101" t="str">
        <f>"ED24A100"</f>
        <v>ED24A100</v>
      </c>
    </row>
    <row r="102" spans="1:5" x14ac:dyDescent="0.25">
      <c r="A102" t="str">
        <f>"349510"</f>
        <v>349510</v>
      </c>
      <c r="B102" s="1" t="str">
        <f>"81983778247"</f>
        <v>81983778247</v>
      </c>
      <c r="C102" t="str">
        <f>"EVERYDAY COUNTER-RELATIVE BIRTHDAY PKG/6-U0445"</f>
        <v>EVERYDAY COUNTER-RELATIVE BIRTHDAY PKG/6-U0445</v>
      </c>
      <c r="D102" t="str">
        <f>"U0445"</f>
        <v>U0445</v>
      </c>
      <c r="E102" t="str">
        <f>"ED24A101"</f>
        <v>ED24A101</v>
      </c>
    </row>
    <row r="103" spans="1:5" x14ac:dyDescent="0.25">
      <c r="A103" t="str">
        <f>"349453"</f>
        <v>349453</v>
      </c>
      <c r="B103" s="1" t="str">
        <f>"81983778049"</f>
        <v>81983778049</v>
      </c>
      <c r="C103" t="str">
        <f>"EVERYDAY COUNTER-RELATIVE BIRTHDAY PKG/6-U0425"</f>
        <v>EVERYDAY COUNTER-RELATIVE BIRTHDAY PKG/6-U0425</v>
      </c>
      <c r="D103" t="str">
        <f>"U0425"</f>
        <v>U0425</v>
      </c>
      <c r="E103" t="str">
        <f>"ED24A102"</f>
        <v>ED24A102</v>
      </c>
    </row>
    <row r="104" spans="1:5" x14ac:dyDescent="0.25">
      <c r="A104" t="str">
        <f>"279739"</f>
        <v>279739</v>
      </c>
      <c r="B104" s="1" t="str">
        <f>"81983764189"</f>
        <v>81983764189</v>
      </c>
      <c r="C104" t="str">
        <f>"EVERYDAY COUNTER-RELATIVE BD GRANDDAUGHTER PKG/6-J9029"</f>
        <v>EVERYDAY COUNTER-RELATIVE BD GRANDDAUGHTER PKG/6-J9029</v>
      </c>
      <c r="D104" t="str">
        <f>"J9029"</f>
        <v>J9029</v>
      </c>
      <c r="E104" t="str">
        <f>"ED24A103"</f>
        <v>ED24A103</v>
      </c>
    </row>
    <row r="105" spans="1:5" x14ac:dyDescent="0.25">
      <c r="A105" t="str">
        <f>"279738"</f>
        <v>279738</v>
      </c>
      <c r="B105" s="1" t="str">
        <f>"81983764172"</f>
        <v>81983764172</v>
      </c>
      <c r="C105" t="str">
        <f>"EVERYDAY COUNTER-RELATIVE BD GRANDDAUGHTER JUVE PKG/6-J9028"</f>
        <v>EVERYDAY COUNTER-RELATIVE BD GRANDDAUGHTER JUVE PKG/6-J9028</v>
      </c>
      <c r="D105" t="str">
        <f>"J9028"</f>
        <v>J9028</v>
      </c>
      <c r="E105" t="str">
        <f>"ED24A104"</f>
        <v>ED24A104</v>
      </c>
    </row>
    <row r="106" spans="1:5" x14ac:dyDescent="0.25">
      <c r="A106" t="str">
        <f>"349506"</f>
        <v>349506</v>
      </c>
      <c r="B106" s="1" t="str">
        <f>"81983778179"</f>
        <v>81983778179</v>
      </c>
      <c r="C106" t="str">
        <f>"EVERYDAY COUNTER-RELATIVE BIRTHDAY PKG/6-U0438"</f>
        <v>EVERYDAY COUNTER-RELATIVE BIRTHDAY PKG/6-U0438</v>
      </c>
      <c r="D106" t="str">
        <f>"U0438"</f>
        <v>U0438</v>
      </c>
      <c r="E106" t="str">
        <f>"ED24A105"</f>
        <v>ED24A105</v>
      </c>
    </row>
    <row r="107" spans="1:5" x14ac:dyDescent="0.25">
      <c r="A107" t="str">
        <f>"308314"</f>
        <v>308314</v>
      </c>
      <c r="B107" s="1" t="str">
        <f>"81983685590"</f>
        <v>81983685590</v>
      </c>
      <c r="C107" t="str">
        <f>"EVERYDAY COUNTER-BIRTHDAY NEPHEW PKG/6-J0345"</f>
        <v>EVERYDAY COUNTER-BIRTHDAY NEPHEW PKG/6-J0345</v>
      </c>
      <c r="D107" t="str">
        <f>"J0345"</f>
        <v>J0345</v>
      </c>
      <c r="E107" t="str">
        <f>"ED24A106"</f>
        <v>ED24A106</v>
      </c>
    </row>
    <row r="108" spans="1:5" x14ac:dyDescent="0.25">
      <c r="A108" t="str">
        <f>"349452"</f>
        <v>349452</v>
      </c>
      <c r="B108" s="1" t="str">
        <f>"81983777981"</f>
        <v>81983777981</v>
      </c>
      <c r="C108" t="str">
        <f>"EVERYDAY COUNTER-RELATIVE BIRTHDAY PKG/6-U0419"</f>
        <v>EVERYDAY COUNTER-RELATIVE BIRTHDAY PKG/6-U0419</v>
      </c>
      <c r="D108" t="str">
        <f>"U0419"</f>
        <v>U0419</v>
      </c>
      <c r="E108" t="str">
        <f>"ED24A107"</f>
        <v>ED24A107</v>
      </c>
    </row>
    <row r="109" spans="1:5" x14ac:dyDescent="0.25">
      <c r="A109" t="str">
        <f>"349489"</f>
        <v>349489</v>
      </c>
      <c r="B109" s="1" t="str">
        <f>"81983778155"</f>
        <v>81983778155</v>
      </c>
      <c r="C109" t="str">
        <f>"EVERYDAY COUNTER-RELATIVE BIRTHDAY PKG/6-U0436"</f>
        <v>EVERYDAY COUNTER-RELATIVE BIRTHDAY PKG/6-U0436</v>
      </c>
      <c r="D109" t="str">
        <f>"U0436"</f>
        <v>U0436</v>
      </c>
      <c r="E109" t="str">
        <f>"ED24A108"</f>
        <v>ED24A108</v>
      </c>
    </row>
    <row r="110" spans="1:5" x14ac:dyDescent="0.25">
      <c r="A110" t="str">
        <f>"308323"</f>
        <v>308323</v>
      </c>
      <c r="B110" s="1" t="str">
        <f>"81983774003"</f>
        <v>81983774003</v>
      </c>
      <c r="C110" t="str">
        <f>"EVERYDAY COUNTER-BIRTHDAY SISTER PKG/6-J0353"</f>
        <v>EVERYDAY COUNTER-BIRTHDAY SISTER PKG/6-J0353</v>
      </c>
      <c r="D110" t="str">
        <f>"J0353"</f>
        <v>J0353</v>
      </c>
      <c r="E110" t="str">
        <f>"ED24A109"</f>
        <v>ED24A109</v>
      </c>
    </row>
    <row r="111" spans="1:5" x14ac:dyDescent="0.25">
      <c r="A111" t="str">
        <f>"279760"</f>
        <v>279760</v>
      </c>
      <c r="B111" s="1" t="str">
        <f>"81983764356"</f>
        <v>81983764356</v>
      </c>
      <c r="C111" t="str">
        <f>"EVERYDAY COUNTER-RELATIVE BD SISTER IN LAW PKG/6-J9046"</f>
        <v>EVERYDAY COUNTER-RELATIVE BD SISTER IN LAW PKG/6-J9046</v>
      </c>
      <c r="D111" t="str">
        <f>"J9046"</f>
        <v>J9046</v>
      </c>
      <c r="E111" t="str">
        <f>"ED24A110"</f>
        <v>ED24A110</v>
      </c>
    </row>
    <row r="112" spans="1:5" x14ac:dyDescent="0.25">
      <c r="A112" t="str">
        <f>"308298"</f>
        <v>308298</v>
      </c>
      <c r="B112" s="1" t="str">
        <f>"81983685408"</f>
        <v>81983685408</v>
      </c>
      <c r="C112" t="str">
        <f>"EVERYDAY COUNTER-BIRTHDAY DAUGHTER-IN-LAW PKG/6-J0326"</f>
        <v>EVERYDAY COUNTER-BIRTHDAY DAUGHTER-IN-LAW PKG/6-J0326</v>
      </c>
      <c r="D112" t="str">
        <f>"J0326"</f>
        <v>J0326</v>
      </c>
      <c r="E112" t="str">
        <f>"ED24A111"</f>
        <v>ED24A111</v>
      </c>
    </row>
    <row r="113" spans="1:5" x14ac:dyDescent="0.25">
      <c r="A113" t="str">
        <f>"308031"</f>
        <v>308031</v>
      </c>
      <c r="B113" s="1" t="str">
        <f>"81983589317"</f>
        <v>81983589317</v>
      </c>
      <c r="C113" t="str">
        <f>"EVERYDAY COUNTER-GREAT GRANDDAUGHTER (JUV) BIRTHDAY-66684"</f>
        <v>EVERYDAY COUNTER-GREAT GRANDDAUGHTER (JUV) BIRTHDAY-66684</v>
      </c>
      <c r="D113" t="str">
        <f>"66684"</f>
        <v>66684</v>
      </c>
      <c r="E113" t="str">
        <f>"ED24A112"</f>
        <v>ED24A112</v>
      </c>
    </row>
    <row r="114" spans="1:5" x14ac:dyDescent="0.25">
      <c r="A114" t="str">
        <f>"349505"</f>
        <v>349505</v>
      </c>
      <c r="B114" s="1" t="str">
        <f>"81983778186"</f>
        <v>81983778186</v>
      </c>
      <c r="C114" t="str">
        <f>"EVERYDAY COUNTER-RELATIVE BIRTHDAY PKG/6-U0439"</f>
        <v>EVERYDAY COUNTER-RELATIVE BIRTHDAY PKG/6-U0439</v>
      </c>
      <c r="D114" t="str">
        <f>"U0439"</f>
        <v>U0439</v>
      </c>
      <c r="E114" t="str">
        <f>"ED24A113"</f>
        <v>ED24A113</v>
      </c>
    </row>
    <row r="115" spans="1:5" x14ac:dyDescent="0.25">
      <c r="A115" t="str">
        <f>"279520"</f>
        <v>279520</v>
      </c>
      <c r="B115" s="1" t="str">
        <f>"81983738777"</f>
        <v>81983738777</v>
      </c>
      <c r="C115" t="str">
        <f>"EVERYDAY COUNTER-REL BD NIECE TEEN PKG/6-J5544"</f>
        <v>EVERYDAY COUNTER-REL BD NIECE TEEN PKG/6-J5544</v>
      </c>
      <c r="D115" t="str">
        <f>"J5544"</f>
        <v>J5544</v>
      </c>
      <c r="E115" t="str">
        <f>"ED24A114"</f>
        <v>ED24A114</v>
      </c>
    </row>
    <row r="116" spans="1:5" x14ac:dyDescent="0.25">
      <c r="A116" t="str">
        <f>"279751"</f>
        <v>279751</v>
      </c>
      <c r="B116" s="1" t="str">
        <f>"81983764288"</f>
        <v>81983764288</v>
      </c>
      <c r="C116" t="str">
        <f>"EVERYDAY COUNTER-RELATIVE BD NEPHEW PKG/6-J9039"</f>
        <v>EVERYDAY COUNTER-RELATIVE BD NEPHEW PKG/6-J9039</v>
      </c>
      <c r="D116" t="str">
        <f>"J9039"</f>
        <v>J9039</v>
      </c>
      <c r="E116" t="str">
        <f>"ED24A115"</f>
        <v>ED24A115</v>
      </c>
    </row>
    <row r="117" spans="1:5" x14ac:dyDescent="0.25">
      <c r="A117" t="str">
        <f>"279518"</f>
        <v>279518</v>
      </c>
      <c r="B117" s="1" t="str">
        <f>"81983738753"</f>
        <v>81983738753</v>
      </c>
      <c r="C117" t="str">
        <f>"EVERYDAY COUNTER-REL BD NEPHEW JUV PKG/6-J5542"</f>
        <v>EVERYDAY COUNTER-REL BD NEPHEW JUV PKG/6-J5542</v>
      </c>
      <c r="D117" t="str">
        <f>"J5542"</f>
        <v>J5542</v>
      </c>
      <c r="E117" t="str">
        <f>"ED24A116"</f>
        <v>ED24A116</v>
      </c>
    </row>
    <row r="118" spans="1:5" x14ac:dyDescent="0.25">
      <c r="A118" t="str">
        <f>"279489"</f>
        <v>279489</v>
      </c>
      <c r="B118" s="1" t="str">
        <f>"81983738548"</f>
        <v>81983738548</v>
      </c>
      <c r="C118" t="str">
        <f>"EVERYDAY COUNTER-REL BIRTHDAY DAD PKG/6-J5521"</f>
        <v>EVERYDAY COUNTER-REL BIRTHDAY DAD PKG/6-J5521</v>
      </c>
      <c r="D118" t="str">
        <f>"J5521"</f>
        <v>J5521</v>
      </c>
      <c r="E118" t="str">
        <f>"ED24B001"</f>
        <v>ED24B001</v>
      </c>
    </row>
    <row r="119" spans="1:5" x14ac:dyDescent="0.25">
      <c r="A119" t="str">
        <f>"298784"</f>
        <v>298784</v>
      </c>
      <c r="B119" s="1" t="str">
        <f>"81983678394"</f>
        <v>81983678394</v>
      </c>
      <c r="C119" t="str">
        <f>"EVERYDAY COUNTER-SON BIRTHDAY-27076"</f>
        <v>EVERYDAY COUNTER-SON BIRTHDAY-27076</v>
      </c>
      <c r="D119" t="str">
        <f>"27076"</f>
        <v>27076</v>
      </c>
      <c r="E119" t="str">
        <f>"ED24B002"</f>
        <v>ED24B002</v>
      </c>
    </row>
    <row r="120" spans="1:5" x14ac:dyDescent="0.25">
      <c r="A120" t="str">
        <f>"279495"</f>
        <v>279495</v>
      </c>
      <c r="B120" s="1" t="str">
        <f>"81983773662"</f>
        <v>81983773662</v>
      </c>
      <c r="C120" t="str">
        <f>"EVERYDAY COUNTER-REL BD GRANDPA PKG/6-J5525"</f>
        <v>EVERYDAY COUNTER-REL BD GRANDPA PKG/6-J5525</v>
      </c>
      <c r="D120" t="str">
        <f>"J5525"</f>
        <v>J5525</v>
      </c>
      <c r="E120" t="str">
        <f>"ED24B003"</f>
        <v>ED24B003</v>
      </c>
    </row>
    <row r="121" spans="1:5" x14ac:dyDescent="0.25">
      <c r="A121" t="str">
        <f>"380078"</f>
        <v>380078</v>
      </c>
      <c r="B121" s="1" t="str">
        <f>"81983778353"</f>
        <v>81983778353</v>
      </c>
      <c r="C121" t="str">
        <f>"EVERYDAY COUNTER-BIRTHDAY FOR HIM PREMIUM (PACK OF 2)-U0466"</f>
        <v>EVERYDAY COUNTER-BIRTHDAY FOR HIM PREMIUM (PACK OF 2)-U0466</v>
      </c>
      <c r="D121" t="str">
        <f>"U0466"</f>
        <v>U0466</v>
      </c>
      <c r="E121" t="str">
        <f>"ED24B004"</f>
        <v>ED24B004</v>
      </c>
    </row>
    <row r="122" spans="1:5" x14ac:dyDescent="0.25">
      <c r="A122" t="str">
        <f>"349547"</f>
        <v>349547</v>
      </c>
      <c r="B122" s="1" t="str">
        <f>"81983778360"</f>
        <v>81983778360</v>
      </c>
      <c r="C122" t="str">
        <f>"EVERYDAY COUNTER-BIRTHDAY FOR HIM PKG/2"</f>
        <v>EVERYDAY COUNTER-BIRTHDAY FOR HIM PKG/2</v>
      </c>
      <c r="D122" t="str">
        <f>"U0467"</f>
        <v>U0467</v>
      </c>
      <c r="E122" t="str">
        <f>"ED24B005"</f>
        <v>ED24B005</v>
      </c>
    </row>
    <row r="123" spans="1:5" x14ac:dyDescent="0.25">
      <c r="A123" t="str">
        <f>"349462"</f>
        <v>349462</v>
      </c>
      <c r="B123" s="1" t="str">
        <f>"81983777714"</f>
        <v>81983777714</v>
      </c>
      <c r="C123" t="str">
        <f>"EVERYDAY COUNTER-BIRTHDAY PKG/6-U0392"</f>
        <v>EVERYDAY COUNTER-BIRTHDAY PKG/6-U0392</v>
      </c>
      <c r="D123" t="str">
        <f>"U0392"</f>
        <v>U0392</v>
      </c>
      <c r="E123" t="str">
        <f>"ED24B006"</f>
        <v>ED24B006</v>
      </c>
    </row>
    <row r="124" spans="1:5" x14ac:dyDescent="0.25">
      <c r="A124" t="str">
        <f>"349466"</f>
        <v>349466</v>
      </c>
      <c r="B124" s="1" t="str">
        <f>"81983777738"</f>
        <v>81983777738</v>
      </c>
      <c r="C124" t="str">
        <f>"EVERYDAY COUNTER-BIRTHDAY PKG/6-U0394"</f>
        <v>EVERYDAY COUNTER-BIRTHDAY PKG/6-U0394</v>
      </c>
      <c r="D124" t="str">
        <f>"U0394"</f>
        <v>U0394</v>
      </c>
      <c r="E124" t="str">
        <f>"ED24B007"</f>
        <v>ED24B007</v>
      </c>
    </row>
    <row r="125" spans="1:5" x14ac:dyDescent="0.25">
      <c r="A125" t="str">
        <f>"349468"</f>
        <v>349468</v>
      </c>
      <c r="B125" s="1" t="str">
        <f>"81983777745"</f>
        <v>81983777745</v>
      </c>
      <c r="C125" t="str">
        <f>"EVERYDAY COUNTER-BIRTHDAY PKG/6-U0395"</f>
        <v>EVERYDAY COUNTER-BIRTHDAY PKG/6-U0395</v>
      </c>
      <c r="D125" t="str">
        <f>"U0395"</f>
        <v>U0395</v>
      </c>
      <c r="E125" t="str">
        <f>"ED24B008"</f>
        <v>ED24B008</v>
      </c>
    </row>
    <row r="126" spans="1:5" x14ac:dyDescent="0.25">
      <c r="A126" t="str">
        <f>"279734"</f>
        <v>279734</v>
      </c>
      <c r="B126" s="1" t="str">
        <f>"81983764134"</f>
        <v>81983764134</v>
      </c>
      <c r="C126" t="str">
        <f>"EVERYDAY COUNTER-RELATIVE BD DAD PKG/6-J9024"</f>
        <v>EVERYDAY COUNTER-RELATIVE BD DAD PKG/6-J9024</v>
      </c>
      <c r="D126" t="str">
        <f>"J9024"</f>
        <v>J9024</v>
      </c>
      <c r="E126" t="str">
        <f>"ED24B009"</f>
        <v>ED24B009</v>
      </c>
    </row>
    <row r="127" spans="1:5" x14ac:dyDescent="0.25">
      <c r="A127" t="str">
        <f>"349516"</f>
        <v>349516</v>
      </c>
      <c r="B127" s="1" t="str">
        <f>"81983778285"</f>
        <v>81983778285</v>
      </c>
      <c r="C127" t="str">
        <f>"EVERYDAY COUNTER-RELATIVE BIRTHDAY PKG/6-U0449"</f>
        <v>EVERYDAY COUNTER-RELATIVE BIRTHDAY PKG/6-U0449</v>
      </c>
      <c r="D127" t="str">
        <f>"U0449"</f>
        <v>U0449</v>
      </c>
      <c r="E127" t="str">
        <f>"ED24B010"</f>
        <v>ED24B010</v>
      </c>
    </row>
    <row r="128" spans="1:5" x14ac:dyDescent="0.25">
      <c r="A128" t="str">
        <f>"279494"</f>
        <v>279494</v>
      </c>
      <c r="B128" s="1" t="str">
        <f>"81983738579"</f>
        <v>81983738579</v>
      </c>
      <c r="C128" t="str">
        <f>"EVERYDAY COUNTER-REL BD GRANDPA PKG/6-J5524"</f>
        <v>EVERYDAY COUNTER-REL BD GRANDPA PKG/6-J5524</v>
      </c>
      <c r="D128" t="str">
        <f>"J5524"</f>
        <v>J5524</v>
      </c>
      <c r="E128" t="str">
        <f>"ED24B011"</f>
        <v>ED24B011</v>
      </c>
    </row>
    <row r="129" spans="1:5" x14ac:dyDescent="0.25">
      <c r="A129" t="str">
        <f>"349538"</f>
        <v>349538</v>
      </c>
      <c r="B129" s="1" t="str">
        <f>"81983778537"</f>
        <v>81983778537</v>
      </c>
      <c r="C129" t="str">
        <f>"EVERYDAY COUNTER-BIRTHDAY PKG/6-U0484"</f>
        <v>EVERYDAY COUNTER-BIRTHDAY PKG/6-U0484</v>
      </c>
      <c r="D129" t="str">
        <f>"U0484"</f>
        <v>U0484</v>
      </c>
      <c r="E129" t="str">
        <f>"ED24B012"</f>
        <v>ED24B012</v>
      </c>
    </row>
    <row r="130" spans="1:5" x14ac:dyDescent="0.25">
      <c r="A130" t="str">
        <f>"349536"</f>
        <v>349536</v>
      </c>
      <c r="B130" s="1" t="str">
        <f>"81983778544"</f>
        <v>81983778544</v>
      </c>
      <c r="C130" t="str">
        <f>"EVERYDAY COUNTER-BIRTHDAY PKG/6-U0485"</f>
        <v>EVERYDAY COUNTER-BIRTHDAY PKG/6-U0485</v>
      </c>
      <c r="D130" t="str">
        <f>"U0485"</f>
        <v>U0485</v>
      </c>
      <c r="E130" t="str">
        <f>"ED24B013"</f>
        <v>ED24B013</v>
      </c>
    </row>
    <row r="131" spans="1:5" x14ac:dyDescent="0.25">
      <c r="A131" t="str">
        <f>"279683"</f>
        <v>279683</v>
      </c>
      <c r="B131" s="1" t="str">
        <f>"81983763755"</f>
        <v>81983763755</v>
      </c>
      <c r="C131" t="str">
        <f>"EVERYDAY COUNTER-BIRTHDAY CHILD 1ST GIRL PKG/6-J8986"</f>
        <v>EVERYDAY COUNTER-BIRTHDAY CHILD 1ST GIRL PKG/6-J8986</v>
      </c>
      <c r="D131" t="str">
        <f>"J8986"</f>
        <v>J8986</v>
      </c>
      <c r="E131" t="str">
        <f>"ED24B014"</f>
        <v>ED24B014</v>
      </c>
    </row>
    <row r="132" spans="1:5" x14ac:dyDescent="0.25">
      <c r="A132" t="str">
        <f>"279688"</f>
        <v>279688</v>
      </c>
      <c r="B132" s="1" t="str">
        <f>"81983763793"</f>
        <v>81983763793</v>
      </c>
      <c r="C132" t="str">
        <f>"EVERYDAY COUNTER-BIRTHDAY CHILD BOY PKG/6-J8990"</f>
        <v>EVERYDAY COUNTER-BIRTHDAY CHILD BOY PKG/6-J8990</v>
      </c>
      <c r="D132" t="str">
        <f>"J8990"</f>
        <v>J8990</v>
      </c>
      <c r="E132" t="str">
        <f>"ED24B015"</f>
        <v>ED24B015</v>
      </c>
    </row>
    <row r="133" spans="1:5" x14ac:dyDescent="0.25">
      <c r="A133" t="str">
        <f>"349467"</f>
        <v>349467</v>
      </c>
      <c r="B133" s="1" t="str">
        <f>"81983777752"</f>
        <v>81983777752</v>
      </c>
      <c r="C133" t="str">
        <f>"EVERYDAY COUNTER-BIRTHDAY PKG/6-U0396"</f>
        <v>EVERYDAY COUNTER-BIRTHDAY PKG/6-U0396</v>
      </c>
      <c r="D133" t="str">
        <f>"U0396"</f>
        <v>U0396</v>
      </c>
      <c r="E133" t="str">
        <f>"ED24B016"</f>
        <v>ED24B016</v>
      </c>
    </row>
    <row r="134" spans="1:5" x14ac:dyDescent="0.25">
      <c r="A134" t="str">
        <f>"298715"</f>
        <v>298715</v>
      </c>
      <c r="B134" s="1" t="str">
        <f>"81983773617"</f>
        <v>81983773617</v>
      </c>
      <c r="C134" t="str">
        <f>"EVERYDAY COUNTER-BIRTHDAY DAD PKG/6-10300"</f>
        <v>EVERYDAY COUNTER-BIRTHDAY DAD PKG/6-10300</v>
      </c>
      <c r="D134" t="str">
        <f>"10300"</f>
        <v>10300</v>
      </c>
      <c r="E134" t="str">
        <f>"ED24B017"</f>
        <v>ED24B017</v>
      </c>
    </row>
    <row r="135" spans="1:5" x14ac:dyDescent="0.25">
      <c r="A135" t="str">
        <f>"349514"</f>
        <v>349514</v>
      </c>
      <c r="B135" s="1" t="str">
        <f>"81983778278"</f>
        <v>81983778278</v>
      </c>
      <c r="C135" t="str">
        <f>"EVERYDAY COUNTER-RELATIVE BIRTHDAY PKG/6-U0448"</f>
        <v>EVERYDAY COUNTER-RELATIVE BIRTHDAY PKG/6-U0448</v>
      </c>
      <c r="D135" t="str">
        <f>"U0448"</f>
        <v>U0448</v>
      </c>
      <c r="E135" t="str">
        <f>"ED24B018"</f>
        <v>ED24B018</v>
      </c>
    </row>
    <row r="136" spans="1:5" x14ac:dyDescent="0.25">
      <c r="A136" t="str">
        <f>"279493"</f>
        <v>279493</v>
      </c>
      <c r="B136" s="1" t="str">
        <f>"81983738562"</f>
        <v>81983738562</v>
      </c>
      <c r="C136" t="str">
        <f>"EVERYDAY COUNTER-REL BD GRANDFATHER PKG/6-J5523"</f>
        <v>EVERYDAY COUNTER-REL BD GRANDFATHER PKG/6-J5523</v>
      </c>
      <c r="D136" t="str">
        <f>"J5523"</f>
        <v>J5523</v>
      </c>
      <c r="E136" t="str">
        <f>"ED24B019"</f>
        <v>ED24B019</v>
      </c>
    </row>
    <row r="137" spans="1:5" x14ac:dyDescent="0.25">
      <c r="A137" t="str">
        <f>"349535"</f>
        <v>349535</v>
      </c>
      <c r="B137" s="1" t="str">
        <f>"81983778551"</f>
        <v>81983778551</v>
      </c>
      <c r="C137" t="str">
        <f>"EVERYDAY COUNTER-BIRTHDAY PKG/6-U0486"</f>
        <v>EVERYDAY COUNTER-BIRTHDAY PKG/6-U0486</v>
      </c>
      <c r="D137" t="str">
        <f>"U0486"</f>
        <v>U0486</v>
      </c>
      <c r="E137" t="str">
        <f>"ED24B020"</f>
        <v>ED24B020</v>
      </c>
    </row>
    <row r="138" spans="1:5" x14ac:dyDescent="0.25">
      <c r="A138" t="str">
        <f>"349537"</f>
        <v>349537</v>
      </c>
      <c r="B138" s="1" t="str">
        <f>"81983778568"</f>
        <v>81983778568</v>
      </c>
      <c r="C138" t="str">
        <f>"EVERYDAY COUNTER-BIRTHDAY PKG/6-U0487"</f>
        <v>EVERYDAY COUNTER-BIRTHDAY PKG/6-U0487</v>
      </c>
      <c r="D138" t="str">
        <f>"U0487"</f>
        <v>U0487</v>
      </c>
      <c r="E138" t="str">
        <f>"ED24B021"</f>
        <v>ED24B021</v>
      </c>
    </row>
    <row r="139" spans="1:5" x14ac:dyDescent="0.25">
      <c r="A139" t="str">
        <f>"349464"</f>
        <v>349464</v>
      </c>
      <c r="B139" s="1" t="str">
        <f>"81983777585"</f>
        <v>81983777585</v>
      </c>
      <c r="C139" t="str">
        <f>"EVERYDAY COUNTER-BIRTHDAY PKG/6-U0379"</f>
        <v>EVERYDAY COUNTER-BIRTHDAY PKG/6-U0379</v>
      </c>
      <c r="D139" t="str">
        <f>"U0379"</f>
        <v>U0379</v>
      </c>
      <c r="E139" t="str">
        <f>"ED24B022"</f>
        <v>ED24B022</v>
      </c>
    </row>
    <row r="140" spans="1:5" x14ac:dyDescent="0.25">
      <c r="A140" t="str">
        <f>"308370"</f>
        <v>308370</v>
      </c>
      <c r="B140" s="1" t="str">
        <f>"81983772993"</f>
        <v>81983772993</v>
      </c>
      <c r="C140" t="str">
        <f>"EVERYDAY COUNTER-BD BOY PKG/6-J2706"</f>
        <v>EVERYDAY COUNTER-BD BOY PKG/6-J2706</v>
      </c>
      <c r="D140" t="str">
        <f>"J2706"</f>
        <v>J2706</v>
      </c>
      <c r="E140" t="str">
        <f>"ED24B023"</f>
        <v>ED24B023</v>
      </c>
    </row>
    <row r="141" spans="1:5" x14ac:dyDescent="0.25">
      <c r="A141" t="str">
        <f>"308371"</f>
        <v>308371</v>
      </c>
      <c r="B141" s="1" t="str">
        <f>"81983773006"</f>
        <v>81983773006</v>
      </c>
      <c r="C141" t="str">
        <f>"EVERYDAY COUNTER-BD GIRL PKG/6-J2707"</f>
        <v>EVERYDAY COUNTER-BD GIRL PKG/6-J2707</v>
      </c>
      <c r="D141" t="str">
        <f>"J2707"</f>
        <v>J2707</v>
      </c>
      <c r="E141" t="str">
        <f>"ED24B024"</f>
        <v>ED24B024</v>
      </c>
    </row>
    <row r="142" spans="1:5" x14ac:dyDescent="0.25">
      <c r="A142" t="str">
        <f>"308300"</f>
        <v>308300</v>
      </c>
      <c r="B142" s="1" t="str">
        <f>"81983685446"</f>
        <v>81983685446</v>
      </c>
      <c r="C142" t="str">
        <f>"EVERYDAY COUNTER-BIRTHDAY DAD PKG/6-J0330"</f>
        <v>EVERYDAY COUNTER-BIRTHDAY DAD PKG/6-J0330</v>
      </c>
      <c r="D142" t="str">
        <f>"J0330"</f>
        <v>J0330</v>
      </c>
      <c r="E142" t="str">
        <f>"ED24B025"</f>
        <v>ED24B025</v>
      </c>
    </row>
    <row r="143" spans="1:5" x14ac:dyDescent="0.25">
      <c r="A143" t="str">
        <f>"279762"</f>
        <v>279762</v>
      </c>
      <c r="B143" s="1" t="str">
        <f>"81983774034"</f>
        <v>81983774034</v>
      </c>
      <c r="C143" t="str">
        <f>"EVERYDAY COUNTER-RELATIVE BD SON PKG/6-J9048"</f>
        <v>EVERYDAY COUNTER-RELATIVE BD SON PKG/6-J9048</v>
      </c>
      <c r="D143" t="str">
        <f>"J9048"</f>
        <v>J9048</v>
      </c>
      <c r="E143" t="str">
        <f>"ED24B026"</f>
        <v>ED24B026</v>
      </c>
    </row>
    <row r="144" spans="1:5" x14ac:dyDescent="0.25">
      <c r="A144" t="str">
        <f>"307894"</f>
        <v>307894</v>
      </c>
      <c r="B144" s="1" t="str">
        <f>"81983678479"</f>
        <v>81983678479</v>
      </c>
      <c r="C144" t="str">
        <f>"EVERYDAY COUNTER-RELATIVE BDAY-GRANDSON-44141"</f>
        <v>EVERYDAY COUNTER-RELATIVE BDAY-GRANDSON-44141</v>
      </c>
      <c r="D144" t="str">
        <f>"44141"</f>
        <v>44141</v>
      </c>
      <c r="E144" t="str">
        <f>"ED24B027"</f>
        <v>ED24B027</v>
      </c>
    </row>
    <row r="145" spans="1:5" x14ac:dyDescent="0.25">
      <c r="A145" t="str">
        <f>"349539"</f>
        <v>349539</v>
      </c>
      <c r="B145" s="1" t="str">
        <f>"81983778575"</f>
        <v>81983778575</v>
      </c>
      <c r="C145" t="str">
        <f>"EVERYDAY COUNTER-BIRTHDAY PKG/6-U0488"</f>
        <v>EVERYDAY COUNTER-BIRTHDAY PKG/6-U0488</v>
      </c>
      <c r="D145" t="str">
        <f>"U0488"</f>
        <v>U0488</v>
      </c>
      <c r="E145" t="str">
        <f>"ED24B028"</f>
        <v>ED24B028</v>
      </c>
    </row>
    <row r="146" spans="1:5" x14ac:dyDescent="0.25">
      <c r="A146" t="str">
        <f>"349540"</f>
        <v>349540</v>
      </c>
      <c r="B146" s="1" t="str">
        <f>"81983778582"</f>
        <v>81983778582</v>
      </c>
      <c r="C146" t="str">
        <f>"EVERYDAY COUNTER-BIRTHDAY PKG/6-U0489"</f>
        <v>EVERYDAY COUNTER-BIRTHDAY PKG/6-U0489</v>
      </c>
      <c r="D146" t="str">
        <f>"U0489"</f>
        <v>U0489</v>
      </c>
      <c r="E146" t="str">
        <f>"ED24B029"</f>
        <v>ED24B029</v>
      </c>
    </row>
    <row r="147" spans="1:5" x14ac:dyDescent="0.25">
      <c r="A147" t="str">
        <f>"349463"</f>
        <v>349463</v>
      </c>
      <c r="B147" s="1" t="str">
        <f>"81983777578"</f>
        <v>81983777578</v>
      </c>
      <c r="C147" t="str">
        <f>"EVERYDAY COUNTER-BIRTHDAY PKG/6-U0378"</f>
        <v>EVERYDAY COUNTER-BIRTHDAY PKG/6-U0378</v>
      </c>
      <c r="D147" t="str">
        <f>"U0378"</f>
        <v>U0378</v>
      </c>
      <c r="E147" t="str">
        <f>"ED24B030"</f>
        <v>ED24B030</v>
      </c>
    </row>
    <row r="148" spans="1:5" x14ac:dyDescent="0.25">
      <c r="A148" t="str">
        <f>"279461"</f>
        <v>279461</v>
      </c>
      <c r="B148" s="1" t="str">
        <f>"81983738326"</f>
        <v>81983738326</v>
      </c>
      <c r="C148" t="str">
        <f>"EVERYDAY COUNTER-BIRTHDAY CHILD PKG/6-J5499"</f>
        <v>EVERYDAY COUNTER-BIRTHDAY CHILD PKG/6-J5499</v>
      </c>
      <c r="D148" t="str">
        <f>"J5499"</f>
        <v>J5499</v>
      </c>
      <c r="E148" t="str">
        <f>"ED24B031"</f>
        <v>ED24B031</v>
      </c>
    </row>
    <row r="149" spans="1:5" x14ac:dyDescent="0.25">
      <c r="A149" t="str">
        <f>"279460"</f>
        <v>279460</v>
      </c>
      <c r="B149" s="1" t="str">
        <f>"81983738319"</f>
        <v>81983738319</v>
      </c>
      <c r="C149" t="str">
        <f>"EVERYDAY COUNTER-BIRTHDAY CHILD PKG/6-J5498"</f>
        <v>EVERYDAY COUNTER-BIRTHDAY CHILD PKG/6-J5498</v>
      </c>
      <c r="D149" t="str">
        <f>"J5498"</f>
        <v>J5498</v>
      </c>
      <c r="E149" t="str">
        <f>"ED24B032"</f>
        <v>ED24B032</v>
      </c>
    </row>
    <row r="150" spans="1:5" x14ac:dyDescent="0.25">
      <c r="A150" t="str">
        <f>"298790"</f>
        <v>298790</v>
      </c>
      <c r="B150" s="1" t="str">
        <f>"81983603389"</f>
        <v>81983603389</v>
      </c>
      <c r="C150" t="str">
        <f>"EVERYDAY COUNTER-DAD-39185"</f>
        <v>EVERYDAY COUNTER-DAD-39185</v>
      </c>
      <c r="D150" t="str">
        <f>"39185"</f>
        <v>39185</v>
      </c>
      <c r="E150" t="str">
        <f>"ED24B033"</f>
        <v>ED24B033</v>
      </c>
    </row>
    <row r="151" spans="1:5" x14ac:dyDescent="0.25">
      <c r="A151" t="str">
        <f>"349517"</f>
        <v>349517</v>
      </c>
      <c r="B151" s="1" t="str">
        <f>"81983778261"</f>
        <v>81983778261</v>
      </c>
      <c r="C151" t="str">
        <f>"EVERYDAY COUNTER-RELATIVE BIRTHDAY PKG/6-U0447"</f>
        <v>EVERYDAY COUNTER-RELATIVE BIRTHDAY PKG/6-U0447</v>
      </c>
      <c r="D151" t="str">
        <f>"U0447"</f>
        <v>U0447</v>
      </c>
      <c r="E151" t="str">
        <f>"ED24B034"</f>
        <v>ED24B034</v>
      </c>
    </row>
    <row r="152" spans="1:5" x14ac:dyDescent="0.25">
      <c r="A152" t="str">
        <f>"308306"</f>
        <v>308306</v>
      </c>
      <c r="B152" s="1" t="str">
        <f>"81983773686"</f>
        <v>81983773686</v>
      </c>
      <c r="C152" t="str">
        <f>"EVERYDAY COUNTER-BIRTHDAY GRANDSON PKG/6-J0336"</f>
        <v>EVERYDAY COUNTER-BIRTHDAY GRANDSON PKG/6-J0336</v>
      </c>
      <c r="D152" t="str">
        <f>"J0336"</f>
        <v>J0336</v>
      </c>
      <c r="E152" t="str">
        <f>"ED24B035"</f>
        <v>ED24B035</v>
      </c>
    </row>
    <row r="153" spans="1:5" x14ac:dyDescent="0.25">
      <c r="A153" t="str">
        <f>"279456"</f>
        <v>279456</v>
      </c>
      <c r="B153" s="1" t="str">
        <f>"81983738289"</f>
        <v>81983738289</v>
      </c>
      <c r="C153" t="str">
        <f>"EVERYDAY COUNTER-BIRTHDAY 16YR FOR ANYONE PKG/6-J5495"</f>
        <v>EVERYDAY COUNTER-BIRTHDAY 16YR FOR ANYONE PKG/6-J5495</v>
      </c>
      <c r="D153" t="str">
        <f>"J5495"</f>
        <v>J5495</v>
      </c>
      <c r="E153" t="str">
        <f>"ED24B036"</f>
        <v>ED24B036</v>
      </c>
    </row>
    <row r="154" spans="1:5" x14ac:dyDescent="0.25">
      <c r="A154" t="str">
        <f>"308168"</f>
        <v>308168</v>
      </c>
      <c r="B154" s="1" t="str">
        <f>"81983528514"</f>
        <v>81983528514</v>
      </c>
      <c r="C154" t="str">
        <f>"EVERYDAY COUNTER-CHILD MULTI-YEAR-84556"</f>
        <v>EVERYDAY COUNTER-CHILD MULTI-YEAR-84556</v>
      </c>
      <c r="D154" t="str">
        <f>"84556"</f>
        <v>84556</v>
      </c>
      <c r="E154" t="str">
        <f>"ED24B037"</f>
        <v>ED24B037</v>
      </c>
    </row>
    <row r="155" spans="1:5" x14ac:dyDescent="0.25">
      <c r="A155" t="str">
        <f>"279457"</f>
        <v>279457</v>
      </c>
      <c r="B155" s="1" t="str">
        <f>"81983772979"</f>
        <v>81983772979</v>
      </c>
      <c r="C155" t="str">
        <f>"EVERYDAY COUNTER-BIRTHDAY 3RD GIRL PKG/6-J5496"</f>
        <v>EVERYDAY COUNTER-BIRTHDAY 3RD GIRL PKG/6-J5496</v>
      </c>
      <c r="D155" t="str">
        <f>"J5496"</f>
        <v>J5496</v>
      </c>
      <c r="E155" t="str">
        <f>"ED24B038"</f>
        <v>ED24B038</v>
      </c>
    </row>
    <row r="156" spans="1:5" x14ac:dyDescent="0.25">
      <c r="A156" t="str">
        <f>"279685"</f>
        <v>279685</v>
      </c>
      <c r="B156" s="1" t="str">
        <f>"81983763779"</f>
        <v>81983763779</v>
      </c>
      <c r="C156" t="str">
        <f>"EVERYDAY COUNTER-BIRTHDAY CHILD 4TH BOY PKG/6-J8988"</f>
        <v>EVERYDAY COUNTER-BIRTHDAY CHILD 4TH BOY PKG/6-J8988</v>
      </c>
      <c r="D156" t="str">
        <f>"J8988"</f>
        <v>J8988</v>
      </c>
      <c r="E156" t="str">
        <f>"ED24B039"</f>
        <v>ED24B039</v>
      </c>
    </row>
    <row r="157" spans="1:5" x14ac:dyDescent="0.25">
      <c r="A157" t="str">
        <f>"279458"</f>
        <v>279458</v>
      </c>
      <c r="B157" s="1" t="str">
        <f>"81983772986"</f>
        <v>81983772986</v>
      </c>
      <c r="C157" t="str">
        <f>"EVERYDAY COUNTER-BIRTHDAY 5TH CHILD PKG/6-J5497"</f>
        <v>EVERYDAY COUNTER-BIRTHDAY 5TH CHILD PKG/6-J5497</v>
      </c>
      <c r="D157" t="str">
        <f>"J5497"</f>
        <v>J5497</v>
      </c>
      <c r="E157" t="str">
        <f>"ED24B040"</f>
        <v>ED24B040</v>
      </c>
    </row>
    <row r="158" spans="1:5" x14ac:dyDescent="0.25">
      <c r="A158" t="str">
        <f>"308410"</f>
        <v>308410</v>
      </c>
      <c r="B158" s="1" t="str">
        <f>"81983773624"</f>
        <v>81983773624</v>
      </c>
      <c r="C158" t="str">
        <f>"EVERYDAY COUNTER-RELATIVE BD DAD PKG/6-J2744"</f>
        <v>EVERYDAY COUNTER-RELATIVE BD DAD PKG/6-J2744</v>
      </c>
      <c r="D158" t="str">
        <f>"J2744"</f>
        <v>J2744</v>
      </c>
      <c r="E158" t="str">
        <f>"ED24B041"</f>
        <v>ED24B041</v>
      </c>
    </row>
    <row r="159" spans="1:5" x14ac:dyDescent="0.25">
      <c r="A159" t="str">
        <f>"307958"</f>
        <v>307958</v>
      </c>
      <c r="B159" s="1" t="str">
        <f>"81983678523"</f>
        <v>81983678523</v>
      </c>
      <c r="C159" t="str">
        <f>"EVERYDAY COUNTER-REL BDAY-SON-55009"</f>
        <v>EVERYDAY COUNTER-REL BDAY-SON-55009</v>
      </c>
      <c r="D159" t="str">
        <f>"55009"</f>
        <v>55009</v>
      </c>
      <c r="E159" t="str">
        <f>"ED24B042"</f>
        <v>ED24B042</v>
      </c>
    </row>
    <row r="160" spans="1:5" x14ac:dyDescent="0.25">
      <c r="A160" t="str">
        <f>"308413"</f>
        <v>308413</v>
      </c>
      <c r="B160" s="1" t="str">
        <f>"81983715228"</f>
        <v>81983715228</v>
      </c>
      <c r="C160" t="str">
        <f>"EVERYDAY COUNTER-RELATIVE BD GRANDSON -A PKG/6-J2748"</f>
        <v>EVERYDAY COUNTER-RELATIVE BD GRANDSON -A PKG/6-J2748</v>
      </c>
      <c r="D160" t="str">
        <f>"J2748"</f>
        <v>J2748</v>
      </c>
      <c r="E160" t="str">
        <f>"ED24B043"</f>
        <v>ED24B043</v>
      </c>
    </row>
    <row r="161" spans="1:5" x14ac:dyDescent="0.25">
      <c r="A161" t="str">
        <f>"308200"</f>
        <v>308200</v>
      </c>
      <c r="B161" s="1" t="str">
        <f>"81983677151"</f>
        <v>81983677151</v>
      </c>
      <c r="C161" t="str">
        <f>"EVERYDAY COUNTER-BDAY 30TH PKG/6-91975"</f>
        <v>EVERYDAY COUNTER-BDAY 30TH PKG/6-91975</v>
      </c>
      <c r="D161" t="str">
        <f>"91975"</f>
        <v>91975</v>
      </c>
      <c r="E161" t="str">
        <f>"ED24B044"</f>
        <v>ED24B044</v>
      </c>
    </row>
    <row r="162" spans="1:5" x14ac:dyDescent="0.25">
      <c r="A162" t="str">
        <f>"279689"</f>
        <v>279689</v>
      </c>
      <c r="B162" s="1" t="str">
        <f>"81983763809"</f>
        <v>81983763809</v>
      </c>
      <c r="C162" t="str">
        <f>"EVERYDAY COUNTER-BIRTHDAY GENERAL FOR ANYONE PKG/6-J8991"</f>
        <v>EVERYDAY COUNTER-BIRTHDAY GENERAL FOR ANYONE PKG/6-J8991</v>
      </c>
      <c r="D162" t="str">
        <f>"J8991"</f>
        <v>J8991</v>
      </c>
      <c r="E162" t="str">
        <f>"ED24B045"</f>
        <v>ED24B045</v>
      </c>
    </row>
    <row r="163" spans="1:5" x14ac:dyDescent="0.25">
      <c r="A163" t="str">
        <f>"349465"</f>
        <v>349465</v>
      </c>
      <c r="B163" s="1" t="str">
        <f>"81983777721"</f>
        <v>81983777721</v>
      </c>
      <c r="C163" t="str">
        <f>"EVERYDAY COUNTER-BIRTHDAY PKG/6-U0393"</f>
        <v>EVERYDAY COUNTER-BIRTHDAY PKG/6-U0393</v>
      </c>
      <c r="D163" t="str">
        <f>"U0393"</f>
        <v>U0393</v>
      </c>
      <c r="E163" t="str">
        <f>"ED24B046"</f>
        <v>ED24B046</v>
      </c>
    </row>
    <row r="164" spans="1:5" x14ac:dyDescent="0.25">
      <c r="A164" t="str">
        <f>"279684"</f>
        <v>279684</v>
      </c>
      <c r="B164" s="1" t="str">
        <f>"81983763762"</f>
        <v>81983763762</v>
      </c>
      <c r="C164" t="str">
        <f>"EVERYDAY COUNTER-BIRTHDAY CHILD 4TH GIRL PKG/6-J8987"</f>
        <v>EVERYDAY COUNTER-BIRTHDAY CHILD 4TH GIRL PKG/6-J8987</v>
      </c>
      <c r="D164" t="str">
        <f>"J8987"</f>
        <v>J8987</v>
      </c>
      <c r="E164" t="str">
        <f>"ED24B047"</f>
        <v>ED24B047</v>
      </c>
    </row>
    <row r="165" spans="1:5" x14ac:dyDescent="0.25">
      <c r="A165" t="str">
        <f>"279686"</f>
        <v>279686</v>
      </c>
      <c r="B165" s="1" t="str">
        <f>"81983763786"</f>
        <v>81983763786</v>
      </c>
      <c r="C165" t="str">
        <f>"EVERYDAY COUNTER-BIRTHDAY CHILD 5TH GIRL PKG/6-J8989"</f>
        <v>EVERYDAY COUNTER-BIRTHDAY CHILD 5TH GIRL PKG/6-J8989</v>
      </c>
      <c r="D165" t="str">
        <f>"J8989"</f>
        <v>J8989</v>
      </c>
      <c r="E165" t="str">
        <f>"ED24B048"</f>
        <v>ED24B048</v>
      </c>
    </row>
    <row r="166" spans="1:5" x14ac:dyDescent="0.25">
      <c r="A166" t="str">
        <f>"298688"</f>
        <v>298688</v>
      </c>
      <c r="B166" s="1" t="str">
        <f>"81983652127"</f>
        <v>81983652127</v>
      </c>
      <c r="C166" t="str">
        <f>"EVERYDAY COUNTER-BIRTHDAY DAD PKG/6-10261"</f>
        <v>EVERYDAY COUNTER-BIRTHDAY DAD PKG/6-10261</v>
      </c>
      <c r="D166" t="str">
        <f>"10261"</f>
        <v>10261</v>
      </c>
      <c r="E166" t="str">
        <f>"ED24B049"</f>
        <v>ED24B049</v>
      </c>
    </row>
    <row r="167" spans="1:5" x14ac:dyDescent="0.25">
      <c r="A167" t="str">
        <f>"298720"</f>
        <v>298720</v>
      </c>
      <c r="B167" s="1" t="str">
        <f>"81983774041"</f>
        <v>81983774041</v>
      </c>
      <c r="C167" t="str">
        <f>"EVERYDAY COUNTER-RELATIVE BDAY-SON-11506"</f>
        <v>EVERYDAY COUNTER-RELATIVE BDAY-SON-11506</v>
      </c>
      <c r="D167" t="str">
        <f>"11506"</f>
        <v>11506</v>
      </c>
      <c r="E167" t="str">
        <f>"ED24B050"</f>
        <v>ED24B050</v>
      </c>
    </row>
    <row r="168" spans="1:5" x14ac:dyDescent="0.25">
      <c r="A168" t="str">
        <f>"279503"</f>
        <v>279503</v>
      </c>
      <c r="B168" s="1" t="str">
        <f>"81983738630"</f>
        <v>81983738630</v>
      </c>
      <c r="C168" t="str">
        <f>"EVERYDAY COUNTER-REL BD GRANDSON ADULT PKG/6-J5530"</f>
        <v>EVERYDAY COUNTER-REL BD GRANDSON ADULT PKG/6-J5530</v>
      </c>
      <c r="D168" t="str">
        <f>"J5530"</f>
        <v>J5530</v>
      </c>
      <c r="E168" t="str">
        <f>"ED24B051"</f>
        <v>ED24B051</v>
      </c>
    </row>
    <row r="169" spans="1:5" x14ac:dyDescent="0.25">
      <c r="A169" t="str">
        <f>"279675"</f>
        <v>279675</v>
      </c>
      <c r="B169" s="1" t="str">
        <f>"81983763694"</f>
        <v>81983763694</v>
      </c>
      <c r="C169" t="str">
        <f>"EVERYDAY COUNTER-BIRTHDAY 40TH PKG/6-J8980"</f>
        <v>EVERYDAY COUNTER-BIRTHDAY 40TH PKG/6-J8980</v>
      </c>
      <c r="D169" t="str">
        <f>"J8980"</f>
        <v>J8980</v>
      </c>
      <c r="E169" t="str">
        <f>"ED24B052"</f>
        <v>ED24B052</v>
      </c>
    </row>
    <row r="170" spans="1:5" x14ac:dyDescent="0.25">
      <c r="A170" t="str">
        <f>"349485"</f>
        <v>349485</v>
      </c>
      <c r="B170" s="1" t="str">
        <f>"81983777868"</f>
        <v>81983777868</v>
      </c>
      <c r="C170" t="str">
        <f>"EVERYDAY COUNTER-BIRTHDAY PKG/6-U0407"</f>
        <v>EVERYDAY COUNTER-BIRTHDAY PKG/6-U0407</v>
      </c>
      <c r="D170" t="str">
        <f>"U0407"</f>
        <v>U0407</v>
      </c>
      <c r="E170" t="str">
        <f>"ED24B053"</f>
        <v>ED24B053</v>
      </c>
    </row>
    <row r="171" spans="1:5" x14ac:dyDescent="0.25">
      <c r="A171" t="str">
        <f>"308288"</f>
        <v>308288</v>
      </c>
      <c r="B171" s="1" t="str">
        <f>"81983773167"</f>
        <v>81983773167</v>
      </c>
      <c r="C171" t="str">
        <f>"EVERYDAY COUNTER-BIRTHDAY FOR ANYONE MED PKG/6-J0314"</f>
        <v>EVERYDAY COUNTER-BIRTHDAY FOR ANYONE MED PKG/6-J0314</v>
      </c>
      <c r="D171" t="str">
        <f>"J0314"</f>
        <v>J0314</v>
      </c>
      <c r="E171" t="str">
        <f>"ED24B054"</f>
        <v>ED24B054</v>
      </c>
    </row>
    <row r="172" spans="1:5" x14ac:dyDescent="0.25">
      <c r="A172" t="str">
        <f>"308396"</f>
        <v>308396</v>
      </c>
      <c r="B172" s="1" t="str">
        <f>"81983715020"</f>
        <v>81983715020</v>
      </c>
      <c r="C172" t="str">
        <f>"EVERYDAY COUNTER-BD -MASCULINE PKG/6-J2728"</f>
        <v>EVERYDAY COUNTER-BD -MASCULINE PKG/6-J2728</v>
      </c>
      <c r="D172" t="str">
        <f>"J2728"</f>
        <v>J2728</v>
      </c>
      <c r="E172" t="str">
        <f>"ED24B055"</f>
        <v>ED24B055</v>
      </c>
    </row>
    <row r="173" spans="1:5" x14ac:dyDescent="0.25">
      <c r="A173" t="str">
        <f>"279703"</f>
        <v>279703</v>
      </c>
      <c r="B173" s="1" t="str">
        <f>"81983763915"</f>
        <v>81983763915</v>
      </c>
      <c r="C173" t="str">
        <f>"EVERYDAY COUNTER-BIRTHDAY-FEMININE PKG/6-J9002"</f>
        <v>EVERYDAY COUNTER-BIRTHDAY-FEMININE PKG/6-J9002</v>
      </c>
      <c r="D173" t="str">
        <f>"J9002"</f>
        <v>J9002</v>
      </c>
      <c r="E173" t="str">
        <f>"ED24B056"</f>
        <v>ED24B056</v>
      </c>
    </row>
    <row r="174" spans="1:5" x14ac:dyDescent="0.25">
      <c r="A174" t="str">
        <f>"279488"</f>
        <v>279488</v>
      </c>
      <c r="B174" s="1" t="str">
        <f>"81983738531"</f>
        <v>81983738531</v>
      </c>
      <c r="C174" t="str">
        <f>"EVERYDAY COUNTER-REL BIRTHDAY DAD PKG/6-J5520"</f>
        <v>EVERYDAY COUNTER-REL BIRTHDAY DAD PKG/6-J5520</v>
      </c>
      <c r="D174" t="str">
        <f>"J5520"</f>
        <v>J5520</v>
      </c>
      <c r="E174" t="str">
        <f>"ED24B057"</f>
        <v>ED24B057</v>
      </c>
    </row>
    <row r="175" spans="1:5" x14ac:dyDescent="0.25">
      <c r="A175" t="str">
        <f>"298716"</f>
        <v>298716</v>
      </c>
      <c r="B175" s="1" t="str">
        <f>"81983774133"</f>
        <v>81983774133</v>
      </c>
      <c r="C175" t="str">
        <f>"EVERYDAY COUNTER-BIRTHDAY SON PKG/6-10302"</f>
        <v>EVERYDAY COUNTER-BIRTHDAY SON PKG/6-10302</v>
      </c>
      <c r="D175" t="str">
        <f>"10302"</f>
        <v>10302</v>
      </c>
      <c r="E175" t="str">
        <f>"ED24B058"</f>
        <v>ED24B058</v>
      </c>
    </row>
    <row r="176" spans="1:5" x14ac:dyDescent="0.25">
      <c r="A176" t="str">
        <f>"349470"</f>
        <v>349470</v>
      </c>
      <c r="B176" s="1" t="str">
        <f>"81983778094"</f>
        <v>81983778094</v>
      </c>
      <c r="C176" t="str">
        <f>"EVERYDAY COUNTER-RELATIVE BIRTHDAY PKG/6-U0430"</f>
        <v>EVERYDAY COUNTER-RELATIVE BIRTHDAY PKG/6-U0430</v>
      </c>
      <c r="D176" t="str">
        <f>"U0430"</f>
        <v>U0430</v>
      </c>
      <c r="E176" t="str">
        <f>"ED24B059"</f>
        <v>ED24B059</v>
      </c>
    </row>
    <row r="177" spans="1:5" x14ac:dyDescent="0.25">
      <c r="A177" t="str">
        <f>"279676"</f>
        <v>279676</v>
      </c>
      <c r="B177" s="1" t="str">
        <f>"81983763700"</f>
        <v>81983763700</v>
      </c>
      <c r="C177" t="str">
        <f>"EVERYDAY COUNTER-BIRTHDAY 50TH PKG/6-J8981"</f>
        <v>EVERYDAY COUNTER-BIRTHDAY 50TH PKG/6-J8981</v>
      </c>
      <c r="D177" t="str">
        <f>"J8981"</f>
        <v>J8981</v>
      </c>
      <c r="E177" t="str">
        <f>"ED24B060"</f>
        <v>ED24B060</v>
      </c>
    </row>
    <row r="178" spans="1:5" x14ac:dyDescent="0.25">
      <c r="A178" t="str">
        <f>"308383"</f>
        <v>308383</v>
      </c>
      <c r="B178" s="1" t="str">
        <f>"81983714924"</f>
        <v>81983714924</v>
      </c>
      <c r="C178" t="str">
        <f>"EVERYDAY COUNTER-BIRTHDAY GENERAL FOR ANYONE PKG/6-J2718"</f>
        <v>EVERYDAY COUNTER-BIRTHDAY GENERAL FOR ANYONE PKG/6-J2718</v>
      </c>
      <c r="D178" t="str">
        <f>"J2718"</f>
        <v>J2718</v>
      </c>
      <c r="E178" t="str">
        <f>"ED24B061"</f>
        <v>ED24B061</v>
      </c>
    </row>
    <row r="179" spans="1:5" x14ac:dyDescent="0.25">
      <c r="A179" t="str">
        <f>"349486"</f>
        <v>349486</v>
      </c>
      <c r="B179" s="1" t="str">
        <f>"81983777851"</f>
        <v>81983777851</v>
      </c>
      <c r="C179" t="str">
        <f>"EVERYDAY COUNTER-BIRTHDAY PKG/6-U0406"</f>
        <v>EVERYDAY COUNTER-BIRTHDAY PKG/6-U0406</v>
      </c>
      <c r="D179" t="str">
        <f>"U0406"</f>
        <v>U0406</v>
      </c>
      <c r="E179" t="str">
        <f>"ED24B062"</f>
        <v>ED24B062</v>
      </c>
    </row>
    <row r="180" spans="1:5" x14ac:dyDescent="0.25">
      <c r="A180" t="str">
        <f>"298749"</f>
        <v>298749</v>
      </c>
      <c r="B180" s="1" t="str">
        <f>"81983593499"</f>
        <v>81983593499</v>
      </c>
      <c r="C180" t="str">
        <f>"EVERYDAY COUNTER-BIRTHDAY-MASCULINE-11746"</f>
        <v>EVERYDAY COUNTER-BIRTHDAY-MASCULINE-11746</v>
      </c>
      <c r="D180" t="str">
        <f>"11746"</f>
        <v>11746</v>
      </c>
      <c r="E180" t="str">
        <f>"ED24B063"</f>
        <v>ED24B063</v>
      </c>
    </row>
    <row r="181" spans="1:5" x14ac:dyDescent="0.25">
      <c r="A181" t="str">
        <f>"349479"</f>
        <v>349479</v>
      </c>
      <c r="B181" s="1" t="str">
        <f>"81983777790"</f>
        <v>81983777790</v>
      </c>
      <c r="C181" t="str">
        <f>"EVERYDAY COUNTER-BIRTHDAY PKG/6-U0400"</f>
        <v>EVERYDAY COUNTER-BIRTHDAY PKG/6-U0400</v>
      </c>
      <c r="D181" t="str">
        <f>"U0400"</f>
        <v>U0400</v>
      </c>
      <c r="E181" t="str">
        <f>"ED24B064"</f>
        <v>ED24B064</v>
      </c>
    </row>
    <row r="182" spans="1:5" x14ac:dyDescent="0.25">
      <c r="A182" t="str">
        <f>"349460"</f>
        <v>349460</v>
      </c>
      <c r="B182" s="1" t="str">
        <f>"81983778063"</f>
        <v>81983778063</v>
      </c>
      <c r="C182" t="str">
        <f>"EVERYDAY COUNTER-RELATIVE BIRTHDAY PKG/6-U0427"</f>
        <v>EVERYDAY COUNTER-RELATIVE BIRTHDAY PKG/6-U0427</v>
      </c>
      <c r="D182" t="str">
        <f>"U0427"</f>
        <v>U0427</v>
      </c>
      <c r="E182" t="str">
        <f>"ED24B065"</f>
        <v>ED24B065</v>
      </c>
    </row>
    <row r="183" spans="1:5" x14ac:dyDescent="0.25">
      <c r="A183" t="str">
        <f>"279763"</f>
        <v>279763</v>
      </c>
      <c r="B183" s="1" t="str">
        <f>"81983764387"</f>
        <v>81983764387</v>
      </c>
      <c r="C183" t="str">
        <f>"EVERYDAY COUNTER-RELATIVE BD SON PKG/6-J9049"</f>
        <v>EVERYDAY COUNTER-RELATIVE BD SON PKG/6-J9049</v>
      </c>
      <c r="D183" t="str">
        <f>"J9049"</f>
        <v>J9049</v>
      </c>
      <c r="E183" t="str">
        <f>"ED24B066"</f>
        <v>ED24B066</v>
      </c>
    </row>
    <row r="184" spans="1:5" x14ac:dyDescent="0.25">
      <c r="A184" t="str">
        <f>"298762"</f>
        <v>298762</v>
      </c>
      <c r="B184" s="1" t="str">
        <f>"81983678325"</f>
        <v>81983678325</v>
      </c>
      <c r="C184" t="str">
        <f>"EVERYDAY COUNTER-RELATIVE BDAY-GRANDSON-11771"</f>
        <v>EVERYDAY COUNTER-RELATIVE BDAY-GRANDSON-11771</v>
      </c>
      <c r="D184" t="str">
        <f>"11771"</f>
        <v>11771</v>
      </c>
      <c r="E184" t="str">
        <f>"ED24B067"</f>
        <v>ED24B067</v>
      </c>
    </row>
    <row r="185" spans="1:5" x14ac:dyDescent="0.25">
      <c r="A185" t="str">
        <f>"308362"</f>
        <v>308362</v>
      </c>
      <c r="B185" s="1" t="str">
        <f>"81983714726"</f>
        <v>81983714726</v>
      </c>
      <c r="C185" t="str">
        <f>"EVERYDAY COUNTER-BD 50 FOR ANYONE PKG/6-J2698"</f>
        <v>EVERYDAY COUNTER-BD 50 FOR ANYONE PKG/6-J2698</v>
      </c>
      <c r="D185" t="str">
        <f>"J2698"</f>
        <v>J2698</v>
      </c>
      <c r="E185" t="str">
        <f>"ED24B068"</f>
        <v>ED24B068</v>
      </c>
    </row>
    <row r="186" spans="1:5" x14ac:dyDescent="0.25">
      <c r="A186" t="str">
        <f>"349484"</f>
        <v>349484</v>
      </c>
      <c r="B186" s="1" t="str">
        <f>"81983777875"</f>
        <v>81983777875</v>
      </c>
      <c r="C186" t="str">
        <f>"EVERYDAY COUNTER-BIRTHDAY PKG/6-U0408"</f>
        <v>EVERYDAY COUNTER-BIRTHDAY PKG/6-U0408</v>
      </c>
      <c r="D186" t="str">
        <f>"U0408"</f>
        <v>U0408</v>
      </c>
      <c r="E186" t="str">
        <f>"ED24B069"</f>
        <v>ED24B069</v>
      </c>
    </row>
    <row r="187" spans="1:5" x14ac:dyDescent="0.25">
      <c r="A187" t="str">
        <f>"279693"</f>
        <v>279693</v>
      </c>
      <c r="B187" s="1" t="str">
        <f>"81983763823"</f>
        <v>81983763823</v>
      </c>
      <c r="C187" t="str">
        <f>"EVERYDAY COUNTER-BIRTHDAY GENERAL FOR ANYONE PKG/6-J8993"</f>
        <v>EVERYDAY COUNTER-BIRTHDAY GENERAL FOR ANYONE PKG/6-J8993</v>
      </c>
      <c r="D187" t="str">
        <f>"J8993"</f>
        <v>J8993</v>
      </c>
      <c r="E187" t="str">
        <f>"ED24B070"</f>
        <v>ED24B070</v>
      </c>
    </row>
    <row r="188" spans="1:5" x14ac:dyDescent="0.25">
      <c r="A188" t="str">
        <f>"308397"</f>
        <v>308397</v>
      </c>
      <c r="B188" s="1" t="str">
        <f>"81983715037"</f>
        <v>81983715037</v>
      </c>
      <c r="C188" t="str">
        <f>"EVERYDAY COUNTER-BD -MASCULINE PKG/6-J2729"</f>
        <v>EVERYDAY COUNTER-BD -MASCULINE PKG/6-J2729</v>
      </c>
      <c r="D188" t="str">
        <f>"J2729"</f>
        <v>J2729</v>
      </c>
      <c r="E188" t="str">
        <f>"ED24B071"</f>
        <v>ED24B071</v>
      </c>
    </row>
    <row r="189" spans="1:5" x14ac:dyDescent="0.25">
      <c r="A189" t="str">
        <f>"349478"</f>
        <v>349478</v>
      </c>
      <c r="B189" s="1" t="str">
        <f>"81983777806"</f>
        <v>81983777806</v>
      </c>
      <c r="C189" t="str">
        <f>"EVERYDAY COUNTER-BIRTHDAY PKG/6-U0401"</f>
        <v>EVERYDAY COUNTER-BIRTHDAY PKG/6-U0401</v>
      </c>
      <c r="D189" t="str">
        <f>"U0401"</f>
        <v>U0401</v>
      </c>
      <c r="E189" t="str">
        <f>"ED24B072"</f>
        <v>ED24B072</v>
      </c>
    </row>
    <row r="190" spans="1:5" x14ac:dyDescent="0.25">
      <c r="A190" t="str">
        <f>"279736"</f>
        <v>279736</v>
      </c>
      <c r="B190" s="1" t="str">
        <f>"81983764158"</f>
        <v>81983764158</v>
      </c>
      <c r="C190" t="str">
        <f>"EVERYDAY COUNTER-RELATIVE BD DAD PKG/6-J9026"</f>
        <v>EVERYDAY COUNTER-RELATIVE BD DAD PKG/6-J9026</v>
      </c>
      <c r="D190" t="str">
        <f>"J9026"</f>
        <v>J9026</v>
      </c>
      <c r="E190" t="str">
        <f>"ED24B073"</f>
        <v>ED24B073</v>
      </c>
    </row>
    <row r="191" spans="1:5" x14ac:dyDescent="0.25">
      <c r="A191" t="str">
        <f>"349515"</f>
        <v>349515</v>
      </c>
      <c r="B191" s="1" t="str">
        <f>"81983778254"</f>
        <v>81983778254</v>
      </c>
      <c r="C191" t="str">
        <f>"EVERYDAY COUNTER-RELATIVE BIRTHDAY PKG/6-U0446"</f>
        <v>EVERYDAY COUNTER-RELATIVE BIRTHDAY PKG/6-U0446</v>
      </c>
      <c r="D191" t="str">
        <f>"U0446"</f>
        <v>U0446</v>
      </c>
      <c r="E191" t="str">
        <f>"ED24B074"</f>
        <v>ED24B074</v>
      </c>
    </row>
    <row r="192" spans="1:5" x14ac:dyDescent="0.25">
      <c r="A192" t="str">
        <f>"349471"</f>
        <v>349471</v>
      </c>
      <c r="B192" s="1" t="str">
        <f>"81983778087"</f>
        <v>81983778087</v>
      </c>
      <c r="C192" t="str">
        <f>"EVERYDAY COUNTER-RELATIVE BIRTHDAY PKG/6-U0429"</f>
        <v>EVERYDAY COUNTER-RELATIVE BIRTHDAY PKG/6-U0429</v>
      </c>
      <c r="D192" t="str">
        <f>"U0429"</f>
        <v>U0429</v>
      </c>
      <c r="E192" t="str">
        <f>"ED24B075"</f>
        <v>ED24B075</v>
      </c>
    </row>
    <row r="193" spans="1:5" x14ac:dyDescent="0.25">
      <c r="A193" t="str">
        <f>"308363"</f>
        <v>308363</v>
      </c>
      <c r="B193" s="1" t="str">
        <f>"81983714733"</f>
        <v>81983714733</v>
      </c>
      <c r="C193" t="str">
        <f>"EVERYDAY COUNTER-BD 50 FOR ANYONE PKG/6-J2699"</f>
        <v>EVERYDAY COUNTER-BD 50 FOR ANYONE PKG/6-J2699</v>
      </c>
      <c r="D193" t="str">
        <f>"J2699"</f>
        <v>J2699</v>
      </c>
      <c r="E193" t="str">
        <f>"ED24B076"</f>
        <v>ED24B076</v>
      </c>
    </row>
    <row r="194" spans="1:5" x14ac:dyDescent="0.25">
      <c r="A194" t="str">
        <f>"308388"</f>
        <v>308388</v>
      </c>
      <c r="B194" s="1" t="str">
        <f>"81983773150"</f>
        <v>81983773150</v>
      </c>
      <c r="C194" t="str">
        <f>"EVERYDAY COUNTER-BIRTHDAY GENERAL FOR ANYONE PKG/6-J2722"</f>
        <v>EVERYDAY COUNTER-BIRTHDAY GENERAL FOR ANYONE PKG/6-J2722</v>
      </c>
      <c r="D194" t="str">
        <f>"J2722"</f>
        <v>J2722</v>
      </c>
      <c r="E194" t="str">
        <f>"ED24B077"</f>
        <v>ED24B077</v>
      </c>
    </row>
    <row r="195" spans="1:5" x14ac:dyDescent="0.25">
      <c r="A195" t="str">
        <f>"279696"</f>
        <v>279696</v>
      </c>
      <c r="B195" s="1" t="str">
        <f>"81983773129"</f>
        <v>81983773129</v>
      </c>
      <c r="C195" t="str">
        <f>"EVERYDAY COUNTER-BIRTHDAY GENERAL FOR ANYONE PKG/6-J8995"</f>
        <v>EVERYDAY COUNTER-BIRTHDAY GENERAL FOR ANYONE PKG/6-J8995</v>
      </c>
      <c r="D195" t="str">
        <f>"J8995"</f>
        <v>J8995</v>
      </c>
      <c r="E195" t="str">
        <f>"ED24B078"</f>
        <v>ED24B078</v>
      </c>
    </row>
    <row r="196" spans="1:5" x14ac:dyDescent="0.25">
      <c r="A196" t="str">
        <f>"308291"</f>
        <v>308291</v>
      </c>
      <c r="B196" s="1" t="str">
        <f>"81983773204"</f>
        <v>81983773204</v>
      </c>
      <c r="C196" t="str">
        <f>"EVERYDAY COUNTER-BIRTHDAY MASCULINE SMALL PKG/6-J0318"</f>
        <v>EVERYDAY COUNTER-BIRTHDAY MASCULINE SMALL PKG/6-J0318</v>
      </c>
      <c r="D196" t="str">
        <f>"J0318"</f>
        <v>J0318</v>
      </c>
      <c r="E196" t="str">
        <f>"ED24B079"</f>
        <v>ED24B079</v>
      </c>
    </row>
    <row r="197" spans="1:5" x14ac:dyDescent="0.25">
      <c r="A197" t="str">
        <f>"308379"</f>
        <v>308379</v>
      </c>
      <c r="B197" s="1" t="str">
        <f>"81983714887"</f>
        <v>81983714887</v>
      </c>
      <c r="C197" t="str">
        <f>"EVERYDAY COUNTER-BD GENERAL FEMININE PKG/6-J2714"</f>
        <v>EVERYDAY COUNTER-BD GENERAL FEMININE PKG/6-J2714</v>
      </c>
      <c r="D197" t="str">
        <f>"J2714"</f>
        <v>J2714</v>
      </c>
      <c r="E197" t="str">
        <f>"ED24B080"</f>
        <v>ED24B080</v>
      </c>
    </row>
    <row r="198" spans="1:5" x14ac:dyDescent="0.25">
      <c r="A198" t="str">
        <f>"349461"</f>
        <v>349461</v>
      </c>
      <c r="B198" s="1" t="str">
        <f>"81983778070"</f>
        <v>81983778070</v>
      </c>
      <c r="C198" t="str">
        <f>"EVERYDAY COUNTER-RELATIVE BIRTHDAY PKG/6-U0428"</f>
        <v>EVERYDAY COUNTER-RELATIVE BIRTHDAY PKG/6-U0428</v>
      </c>
      <c r="D198" t="str">
        <f>"U0428"</f>
        <v>U0428</v>
      </c>
      <c r="E198" t="str">
        <f>"ED24B081"</f>
        <v>ED24B081</v>
      </c>
    </row>
    <row r="199" spans="1:5" x14ac:dyDescent="0.25">
      <c r="A199" t="str">
        <f>"298721"</f>
        <v>298721</v>
      </c>
      <c r="B199" s="1" t="str">
        <f>"81983678264"</f>
        <v>81983678264</v>
      </c>
      <c r="C199" t="str">
        <f>"EVERYDAY COUNTER-RELATIVE BDAY-SON-11507"</f>
        <v>EVERYDAY COUNTER-RELATIVE BDAY-SON-11507</v>
      </c>
      <c r="D199" t="str">
        <f>"11507"</f>
        <v>11507</v>
      </c>
      <c r="E199" t="str">
        <f>"ED24B082"</f>
        <v>ED24B082</v>
      </c>
    </row>
    <row r="200" spans="1:5" x14ac:dyDescent="0.25">
      <c r="A200" t="str">
        <f>"307962"</f>
        <v>307962</v>
      </c>
      <c r="B200" s="1" t="str">
        <f>"81983678547"</f>
        <v>81983678547</v>
      </c>
      <c r="C200" t="str">
        <f>"EVERYDAY COUNTER-GRANDSON BIRTHDAY-55102"</f>
        <v>EVERYDAY COUNTER-GRANDSON BIRTHDAY-55102</v>
      </c>
      <c r="D200" t="str">
        <f>"55102"</f>
        <v>55102</v>
      </c>
      <c r="E200" t="str">
        <f>"ED24B083"</f>
        <v>ED24B083</v>
      </c>
    </row>
    <row r="201" spans="1:5" x14ac:dyDescent="0.25">
      <c r="A201" t="str">
        <f>"279678"</f>
        <v>279678</v>
      </c>
      <c r="B201" s="1" t="str">
        <f>"81983763717"</f>
        <v>81983763717</v>
      </c>
      <c r="C201" t="str">
        <f>"EVERYDAY COUNTER-BIRTHDAY 60TH PKG/6-J8982"</f>
        <v>EVERYDAY COUNTER-BIRTHDAY 60TH PKG/6-J8982</v>
      </c>
      <c r="D201" t="str">
        <f>"J8982"</f>
        <v>J8982</v>
      </c>
      <c r="E201" t="str">
        <f>"ED24B084"</f>
        <v>ED24B084</v>
      </c>
    </row>
    <row r="202" spans="1:5" x14ac:dyDescent="0.25">
      <c r="A202" t="str">
        <f>"349459"</f>
        <v>349459</v>
      </c>
      <c r="B202" s="1" t="str">
        <f>"81983777707"</f>
        <v>81983777707</v>
      </c>
      <c r="C202" t="str">
        <f>"EVERYDAY COUNTER-BIRTHDAY PKG/6-U0391"</f>
        <v>EVERYDAY COUNTER-BIRTHDAY PKG/6-U0391</v>
      </c>
      <c r="D202" t="str">
        <f>"U0391"</f>
        <v>U0391</v>
      </c>
      <c r="E202" t="str">
        <f>"ED24B085"</f>
        <v>ED24B085</v>
      </c>
    </row>
    <row r="203" spans="1:5" x14ac:dyDescent="0.25">
      <c r="A203" t="str">
        <f>"279697"</f>
        <v>279697</v>
      </c>
      <c r="B203" s="1" t="str">
        <f>"81983763854"</f>
        <v>81983763854</v>
      </c>
      <c r="C203" t="str">
        <f>"EVERYDAY COUNTER-BIRTHDAY GENERAL FOR ANYONE PKG/6-J8996"</f>
        <v>EVERYDAY COUNTER-BIRTHDAY GENERAL FOR ANYONE PKG/6-J8996</v>
      </c>
      <c r="D203" t="str">
        <f>"J8996"</f>
        <v>J8996</v>
      </c>
      <c r="E203" t="str">
        <f>"ED24B086"</f>
        <v>ED24B086</v>
      </c>
    </row>
    <row r="204" spans="1:5" x14ac:dyDescent="0.25">
      <c r="A204" t="str">
        <f>"279476"</f>
        <v>279476</v>
      </c>
      <c r="B204" s="1" t="str">
        <f>"81983738432"</f>
        <v>81983738432</v>
      </c>
      <c r="C204" t="str">
        <f>"EVERYDAY COUNTER-BIRTHDAY GEN FOR ANYONE PKG/6-J5510"</f>
        <v>EVERYDAY COUNTER-BIRTHDAY GEN FOR ANYONE PKG/6-J5510</v>
      </c>
      <c r="D204" t="str">
        <f>"J5510"</f>
        <v>J5510</v>
      </c>
      <c r="E204" t="str">
        <f>"ED24B087"</f>
        <v>ED24B087</v>
      </c>
    </row>
    <row r="205" spans="1:5" x14ac:dyDescent="0.25">
      <c r="A205" t="str">
        <f>"308293"</f>
        <v>308293</v>
      </c>
      <c r="B205" s="1" t="str">
        <f>"81983773181"</f>
        <v>81983773181</v>
      </c>
      <c r="C205" t="str">
        <f>"EVERYDAY COUNTER-BIRTHDAY MASCULINE SMALL PKG/6-J0319"</f>
        <v>EVERYDAY COUNTER-BIRTHDAY MASCULINE SMALL PKG/6-J0319</v>
      </c>
      <c r="D205" t="str">
        <f>"J0319"</f>
        <v>J0319</v>
      </c>
      <c r="E205" t="str">
        <f>"ED24B088"</f>
        <v>ED24B088</v>
      </c>
    </row>
    <row r="206" spans="1:5" x14ac:dyDescent="0.25">
      <c r="A206" t="str">
        <f>"349480"</f>
        <v>349480</v>
      </c>
      <c r="B206" s="1" t="str">
        <f>"81983777813"</f>
        <v>81983777813</v>
      </c>
      <c r="C206" t="str">
        <f>"EVERYDAY COUNTER-BIRTHDAY PKG/6-U0402"</f>
        <v>EVERYDAY COUNTER-BIRTHDAY PKG/6-U0402</v>
      </c>
      <c r="D206" t="str">
        <f>"U0402"</f>
        <v>U0402</v>
      </c>
      <c r="E206" t="str">
        <f>"ED24B089"</f>
        <v>ED24B089</v>
      </c>
    </row>
    <row r="207" spans="1:5" x14ac:dyDescent="0.25">
      <c r="A207" t="str">
        <f>"279727"</f>
        <v>279727</v>
      </c>
      <c r="B207" s="1" t="str">
        <f>"81983764073"</f>
        <v>81983764073</v>
      </c>
      <c r="C207" t="str">
        <f>"EVERYDAY COUNTER-RELATIVE BD BROTHER PKG/6-J9018"</f>
        <v>EVERYDAY COUNTER-RELATIVE BD BROTHER PKG/6-J9018</v>
      </c>
      <c r="D207" t="str">
        <f>"J9018"</f>
        <v>J9018</v>
      </c>
      <c r="E207" t="str">
        <f>"ED24B090"</f>
        <v>ED24B090</v>
      </c>
    </row>
    <row r="208" spans="1:5" x14ac:dyDescent="0.25">
      <c r="A208" t="str">
        <f>"279529"</f>
        <v>279529</v>
      </c>
      <c r="B208" s="1" t="str">
        <f>"81983738852"</f>
        <v>81983738852</v>
      </c>
      <c r="C208" t="str">
        <f>"EVERYDAY COUNTER-REL BD SON TEEN PKG/6-J5552"</f>
        <v>EVERYDAY COUNTER-REL BD SON TEEN PKG/6-J5552</v>
      </c>
      <c r="D208" t="str">
        <f>"J5552"</f>
        <v>J5552</v>
      </c>
      <c r="E208" t="str">
        <f>"ED24B091"</f>
        <v>ED24B091</v>
      </c>
    </row>
    <row r="209" spans="1:5" x14ac:dyDescent="0.25">
      <c r="A209" t="str">
        <f>"308032"</f>
        <v>308032</v>
      </c>
      <c r="B209" s="1" t="str">
        <f>"81983773761"</f>
        <v>81983773761</v>
      </c>
      <c r="C209" t="str">
        <f>"EVERYDAY COUNTER-GREAT GRANDSON (JUV) BIRTHDAY-66685"</f>
        <v>EVERYDAY COUNTER-GREAT GRANDSON (JUV) BIRTHDAY-66685</v>
      </c>
      <c r="D209" t="str">
        <f>"66685"</f>
        <v>66685</v>
      </c>
      <c r="E209" t="str">
        <f>"ED24B092"</f>
        <v>ED24B092</v>
      </c>
    </row>
    <row r="210" spans="1:5" x14ac:dyDescent="0.25">
      <c r="A210" t="str">
        <f>"308365"</f>
        <v>308365</v>
      </c>
      <c r="B210" s="1" t="str">
        <f>"81983714757"</f>
        <v>81983714757</v>
      </c>
      <c r="C210" t="str">
        <f>"EVERYDAY COUNTER-BD 60 FOR ANYONE PKG/6-J2701"</f>
        <v>EVERYDAY COUNTER-BD 60 FOR ANYONE PKG/6-J2701</v>
      </c>
      <c r="D210" t="str">
        <f>"J2701"</f>
        <v>J2701</v>
      </c>
      <c r="E210" t="str">
        <f>"ED24B093"</f>
        <v>ED24B093</v>
      </c>
    </row>
    <row r="211" spans="1:5" x14ac:dyDescent="0.25">
      <c r="A211" t="str">
        <f>"308367"</f>
        <v>308367</v>
      </c>
      <c r="B211" s="1" t="str">
        <f>"81983714771"</f>
        <v>81983714771</v>
      </c>
      <c r="C211" t="str">
        <f>"EVERYDAY COUNTER-BD 70 FOR ANYONE PKG/6-J2703"</f>
        <v>EVERYDAY COUNTER-BD 70 FOR ANYONE PKG/6-J2703</v>
      </c>
      <c r="D211" t="str">
        <f>"J2703"</f>
        <v>J2703</v>
      </c>
      <c r="E211" t="str">
        <f>"ED24B094"</f>
        <v>ED24B094</v>
      </c>
    </row>
    <row r="212" spans="1:5" x14ac:dyDescent="0.25">
      <c r="A212" t="str">
        <f>"279694"</f>
        <v>279694</v>
      </c>
      <c r="B212" s="1" t="str">
        <f>"81983763830"</f>
        <v>81983763830</v>
      </c>
      <c r="C212" t="str">
        <f>"EVERYDAY COUNTER-BIRTHDAY GENERAL FOR ANYONE PKG/6-J8994"</f>
        <v>EVERYDAY COUNTER-BIRTHDAY GENERAL FOR ANYONE PKG/6-J8994</v>
      </c>
      <c r="D212" t="str">
        <f>"J8994"</f>
        <v>J8994</v>
      </c>
      <c r="E212" t="str">
        <f>"ED24B095"</f>
        <v>ED24B095</v>
      </c>
    </row>
    <row r="213" spans="1:5" x14ac:dyDescent="0.25">
      <c r="A213" t="str">
        <f>"349483"</f>
        <v>349483</v>
      </c>
      <c r="B213" s="1" t="str">
        <f>"81983777899"</f>
        <v>81983777899</v>
      </c>
      <c r="C213" t="str">
        <f>"EVERYDAY COUNTER-BIRTHDAY PKG/6-U0410"</f>
        <v>EVERYDAY COUNTER-BIRTHDAY PKG/6-U0410</v>
      </c>
      <c r="D213" t="str">
        <f>"U0410"</f>
        <v>U0410</v>
      </c>
      <c r="E213" t="str">
        <f>"ED24B096"</f>
        <v>ED24B096</v>
      </c>
    </row>
    <row r="214" spans="1:5" x14ac:dyDescent="0.25">
      <c r="A214" t="str">
        <f>"349504"</f>
        <v>349504</v>
      </c>
      <c r="B214" s="1" t="str">
        <f>"81983777912"</f>
        <v>81983777912</v>
      </c>
      <c r="C214" t="str">
        <f>"EVERYDAY COUNTER-BIRTHDAY PKG/6-U0412"</f>
        <v>EVERYDAY COUNTER-BIRTHDAY PKG/6-U0412</v>
      </c>
      <c r="D214" t="str">
        <f>"U0412"</f>
        <v>U0412</v>
      </c>
      <c r="E214" t="str">
        <f>"ED24B097"</f>
        <v>ED24B097</v>
      </c>
    </row>
    <row r="215" spans="1:5" x14ac:dyDescent="0.25">
      <c r="A215" t="str">
        <f>"349474"</f>
        <v>349474</v>
      </c>
      <c r="B215" s="1" t="str">
        <f>"81983777820"</f>
        <v>81983777820</v>
      </c>
      <c r="C215" t="str">
        <f>"EVERYDAY COUNTER-BIRTHDAY PKG/6-U0403"</f>
        <v>EVERYDAY COUNTER-BIRTHDAY PKG/6-U0403</v>
      </c>
      <c r="D215" t="str">
        <f>"U0403"</f>
        <v>U0403</v>
      </c>
      <c r="E215" t="str">
        <f>"ED24B098"</f>
        <v>ED24B098</v>
      </c>
    </row>
    <row r="216" spans="1:5" x14ac:dyDescent="0.25">
      <c r="A216" t="str">
        <f>"349450"</f>
        <v>349450</v>
      </c>
      <c r="B216" s="1" t="str">
        <f>"81983777998"</f>
        <v>81983777998</v>
      </c>
      <c r="C216" t="str">
        <f>"EVERYDAY COUNTER-RELATIVE BIRTHDAY PKG/6-U0420"</f>
        <v>EVERYDAY COUNTER-RELATIVE BIRTHDAY PKG/6-U0420</v>
      </c>
      <c r="D216" t="str">
        <f>"U0420"</f>
        <v>U0420</v>
      </c>
      <c r="E216" t="str">
        <f>"ED24B099"</f>
        <v>ED24B099</v>
      </c>
    </row>
    <row r="217" spans="1:5" x14ac:dyDescent="0.25">
      <c r="A217" t="str">
        <f>"308424"</f>
        <v>308424</v>
      </c>
      <c r="B217" s="1" t="str">
        <f>"81983774188"</f>
        <v>81983774188</v>
      </c>
      <c r="C217" t="str">
        <f>"EVERYDAY COUNTER-RELATIVE BD SON- JUV PKG/6"</f>
        <v>EVERYDAY COUNTER-RELATIVE BD SON- JUV PKG/6</v>
      </c>
      <c r="D217" t="str">
        <f>"J2770"</f>
        <v>J2770</v>
      </c>
      <c r="E217" t="str">
        <f>"ED24B100"</f>
        <v>ED24B100</v>
      </c>
    </row>
    <row r="218" spans="1:5" x14ac:dyDescent="0.25">
      <c r="A218" t="str">
        <f>"279528"</f>
        <v>279528</v>
      </c>
      <c r="B218" s="1" t="str">
        <f>"81983738845"</f>
        <v>81983738845</v>
      </c>
      <c r="C218" t="str">
        <f>"EVERYDAY COUNTER-REL BD SON-IN-LAW PKG/6-J5551"</f>
        <v>EVERYDAY COUNTER-REL BD SON-IN-LAW PKG/6-J5551</v>
      </c>
      <c r="D218" t="str">
        <f>"J5551"</f>
        <v>J5551</v>
      </c>
      <c r="E218" t="str">
        <f>"ED24B101"</f>
        <v>ED24B101</v>
      </c>
    </row>
    <row r="219" spans="1:5" x14ac:dyDescent="0.25">
      <c r="A219" t="str">
        <f>"308364"</f>
        <v>308364</v>
      </c>
      <c r="B219" s="1" t="str">
        <f>"81983714740"</f>
        <v>81983714740</v>
      </c>
      <c r="C219" t="str">
        <f>"EVERYDAY COUNTER-BD 60 FOR ANYONE PKG/6-J2700"</f>
        <v>EVERYDAY COUNTER-BD 60 FOR ANYONE PKG/6-J2700</v>
      </c>
      <c r="D219" t="str">
        <f>"J2700"</f>
        <v>J2700</v>
      </c>
      <c r="E219" t="str">
        <f>"ED24B102"</f>
        <v>ED24B102</v>
      </c>
    </row>
    <row r="220" spans="1:5" x14ac:dyDescent="0.25">
      <c r="A220" t="str">
        <f>"308368"</f>
        <v>308368</v>
      </c>
      <c r="B220" s="1" t="str">
        <f>"81983714788"</f>
        <v>81983714788</v>
      </c>
      <c r="C220" t="str">
        <f>"EVERYDAY COUNTER-BIRTHDAY MULTI-YEAR PKG/6-J2704"</f>
        <v>EVERYDAY COUNTER-BIRTHDAY MULTI-YEAR PKG/6-J2704</v>
      </c>
      <c r="D220" t="str">
        <f>"J2704"</f>
        <v>J2704</v>
      </c>
      <c r="E220" t="str">
        <f>"ED24B103"</f>
        <v>ED24B103</v>
      </c>
    </row>
    <row r="221" spans="1:5" x14ac:dyDescent="0.25">
      <c r="A221" t="str">
        <f>"279699"</f>
        <v>279699</v>
      </c>
      <c r="B221" s="1" t="str">
        <f>"81983763878"</f>
        <v>81983763878</v>
      </c>
      <c r="C221" t="str">
        <f>"EVERYDAY COUNTER-BIRTHDAY GENERAL FOR ANYONE PKG/6-J8998"</f>
        <v>EVERYDAY COUNTER-BIRTHDAY GENERAL FOR ANYONE PKG/6-J8998</v>
      </c>
      <c r="D221" t="str">
        <f>"J8998"</f>
        <v>J8998</v>
      </c>
      <c r="E221" t="str">
        <f>"ED24B104"</f>
        <v>ED24B104</v>
      </c>
    </row>
    <row r="222" spans="1:5" x14ac:dyDescent="0.25">
      <c r="A222" t="str">
        <f>"308389"</f>
        <v>308389</v>
      </c>
      <c r="B222" s="1" t="str">
        <f>"81983773136"</f>
        <v>81983773136</v>
      </c>
      <c r="C222" t="str">
        <f>"EVERYDAY COUNTER-BIRTHDAY GENERAL FOR ANYONE PKG/6-J2723"</f>
        <v>EVERYDAY COUNTER-BIRTHDAY GENERAL FOR ANYONE PKG/6-J2723</v>
      </c>
      <c r="D222" t="str">
        <f>"J2723"</f>
        <v>J2723</v>
      </c>
      <c r="E222" t="str">
        <f>"ED24B105"</f>
        <v>ED24B105</v>
      </c>
    </row>
    <row r="223" spans="1:5" x14ac:dyDescent="0.25">
      <c r="A223" t="str">
        <f>"349513"</f>
        <v>349513</v>
      </c>
      <c r="B223" s="1" t="str">
        <f>"81983777929"</f>
        <v>81983777929</v>
      </c>
      <c r="C223" t="str">
        <f>"EVERYDAY COUNTER-BIRTHDAY PKG/6-U0413"</f>
        <v>EVERYDAY COUNTER-BIRTHDAY PKG/6-U0413</v>
      </c>
      <c r="D223" t="str">
        <f>"U0413"</f>
        <v>U0413</v>
      </c>
      <c r="E223" t="str">
        <f>"ED24B106"</f>
        <v>ED24B106</v>
      </c>
    </row>
    <row r="224" spans="1:5" x14ac:dyDescent="0.25">
      <c r="A224" t="str">
        <f>"279469"</f>
        <v>279469</v>
      </c>
      <c r="B224" s="1" t="str">
        <f>"81983738395"</f>
        <v>81983738395</v>
      </c>
      <c r="C224" t="str">
        <f>"EVERYDAY COUNTER-BIRTHDAY GEN FEM PKG/6-J5506"</f>
        <v>EVERYDAY COUNTER-BIRTHDAY GEN FEM PKG/6-J5506</v>
      </c>
      <c r="D224" t="str">
        <f>"J5506"</f>
        <v>J5506</v>
      </c>
      <c r="E224" t="str">
        <f>"ED24B107"</f>
        <v>ED24B107</v>
      </c>
    </row>
    <row r="225" spans="1:5" x14ac:dyDescent="0.25">
      <c r="A225" t="str">
        <f>"349451"</f>
        <v>349451</v>
      </c>
      <c r="B225" s="1" t="str">
        <f>"81983778001"</f>
        <v>81983778001</v>
      </c>
      <c r="C225" t="str">
        <f>"EVERYDAY COUNTER-RELATIVE BIRTHDAY PKG/6-U0421"</f>
        <v>EVERYDAY COUNTER-RELATIVE BIRTHDAY PKG/6-U0421</v>
      </c>
      <c r="D225" t="str">
        <f>"U0421"</f>
        <v>U0421</v>
      </c>
      <c r="E225" t="str">
        <f>"ED24B108"</f>
        <v>ED24B108</v>
      </c>
    </row>
    <row r="226" spans="1:5" x14ac:dyDescent="0.25">
      <c r="A226" t="str">
        <f>"349518"</f>
        <v>349518</v>
      </c>
      <c r="B226" s="1" t="str">
        <f>"81983778292"</f>
        <v>81983778292</v>
      </c>
      <c r="C226" t="str">
        <f>"EVERYDAY COUNTER-RELATIVE BIRTHDAY PKG/6-U0450"</f>
        <v>EVERYDAY COUNTER-RELATIVE BIRTHDAY PKG/6-U0450</v>
      </c>
      <c r="D226" t="str">
        <f>"U0450"</f>
        <v>U0450</v>
      </c>
      <c r="E226" t="str">
        <f>"ED24B109"</f>
        <v>ED24B109</v>
      </c>
    </row>
    <row r="227" spans="1:5" x14ac:dyDescent="0.25">
      <c r="A227" t="str">
        <f>"279766"</f>
        <v>279766</v>
      </c>
      <c r="B227" s="1" t="str">
        <f>"81983764394"</f>
        <v>81983764394</v>
      </c>
      <c r="C227" t="str">
        <f>"EVERYDAY COUNTER-RELATIVE BD SON-IN-LAW PKG/6-J9050"</f>
        <v>EVERYDAY COUNTER-RELATIVE BD SON-IN-LAW PKG/6-J9050</v>
      </c>
      <c r="D227" t="str">
        <f>"J9050"</f>
        <v>J9050</v>
      </c>
      <c r="E227" t="str">
        <f>"ED24B110"</f>
        <v>ED24B110</v>
      </c>
    </row>
    <row r="228" spans="1:5" x14ac:dyDescent="0.25">
      <c r="A228" t="str">
        <f>"279680"</f>
        <v>279680</v>
      </c>
      <c r="B228" s="1" t="str">
        <f>"81983763724"</f>
        <v>81983763724</v>
      </c>
      <c r="C228" t="str">
        <f>"EVERYDAY COUNTER-BIRTHDAY 80TH PKG/6-J8983"</f>
        <v>EVERYDAY COUNTER-BIRTHDAY 80TH PKG/6-J8983</v>
      </c>
      <c r="D228" t="str">
        <f>"J8983"</f>
        <v>J8983</v>
      </c>
      <c r="E228" t="str">
        <f>"ED24B111"</f>
        <v>ED24B111</v>
      </c>
    </row>
    <row r="229" spans="1:5" x14ac:dyDescent="0.25">
      <c r="A229" t="str">
        <f>"308161"</f>
        <v>308161</v>
      </c>
      <c r="B229" s="1" t="str">
        <f>"81983603143"</f>
        <v>81983603143</v>
      </c>
      <c r="C229" t="str">
        <f>"EVERYDAY COUNTER-MULTI-YEAR (Pk/6)-83997"</f>
        <v>EVERYDAY COUNTER-MULTI-YEAR (Pk/6)-83997</v>
      </c>
      <c r="D229" t="str">
        <f>"83997"</f>
        <v>83997</v>
      </c>
      <c r="E229" t="str">
        <f>"ED24B112"</f>
        <v>ED24B112</v>
      </c>
    </row>
    <row r="230" spans="1:5" x14ac:dyDescent="0.25">
      <c r="A230" t="str">
        <f>"308390"</f>
        <v>308390</v>
      </c>
      <c r="B230" s="1" t="str">
        <f>"81983773198"</f>
        <v>81983773198</v>
      </c>
      <c r="C230" t="str">
        <f>"EVERYDAY COUNTER-BIRTHDAY GENERAL FOR ANYONE PKG/6-J2724"</f>
        <v>EVERYDAY COUNTER-BIRTHDAY GENERAL FOR ANYONE PKG/6-J2724</v>
      </c>
      <c r="D230" t="str">
        <f>"J2724"</f>
        <v>J2724</v>
      </c>
      <c r="E230" t="str">
        <f>"ED24B113"</f>
        <v>ED24B113</v>
      </c>
    </row>
    <row r="231" spans="1:5" x14ac:dyDescent="0.25">
      <c r="A231" t="str">
        <f>"349482"</f>
        <v>349482</v>
      </c>
      <c r="B231" s="1" t="str">
        <f>"81983777905"</f>
        <v>81983777905</v>
      </c>
      <c r="C231" t="str">
        <f>"EVERYDAY COUNTER-BIRTHDAY PKG/6-U0411"</f>
        <v>EVERYDAY COUNTER-BIRTHDAY PKG/6-U0411</v>
      </c>
      <c r="D231" t="str">
        <f>"U0411"</f>
        <v>U0411</v>
      </c>
      <c r="E231" t="str">
        <f>"ED24B114"</f>
        <v>ED24B114</v>
      </c>
    </row>
    <row r="232" spans="1:5" x14ac:dyDescent="0.25">
      <c r="A232" t="str">
        <f>"349481"</f>
        <v>349481</v>
      </c>
      <c r="B232" s="1" t="str">
        <f>"81983777882"</f>
        <v>81983777882</v>
      </c>
      <c r="C232" t="str">
        <f>"EVERYDAY COUNTER-BIRTHDAY PKG/6-U0409"</f>
        <v>EVERYDAY COUNTER-BIRTHDAY PKG/6-U0409</v>
      </c>
      <c r="D232" t="str">
        <f>"U0409"</f>
        <v>U0409</v>
      </c>
      <c r="E232" t="str">
        <f>"ED24B115"</f>
        <v>ED24B115</v>
      </c>
    </row>
    <row r="233" spans="1:5" x14ac:dyDescent="0.25">
      <c r="A233" t="str">
        <f>"308387"</f>
        <v>308387</v>
      </c>
      <c r="B233" s="1" t="str">
        <f>"81983714955"</f>
        <v>81983714955</v>
      </c>
      <c r="C233" t="str">
        <f>"EVERYDAY COUNTER-BIRTHDAY GENERAL FOR ANYONE PKG/6-J2721"</f>
        <v>EVERYDAY COUNTER-BIRTHDAY GENERAL FOR ANYONE PKG/6-J2721</v>
      </c>
      <c r="D233" t="str">
        <f>"J2721"</f>
        <v>J2721</v>
      </c>
      <c r="E233" t="str">
        <f>"ED24B116"</f>
        <v>ED24B116</v>
      </c>
    </row>
    <row r="234" spans="1:5" x14ac:dyDescent="0.25">
      <c r="A234" t="str">
        <f>"349476"</f>
        <v>349476</v>
      </c>
      <c r="B234" s="1" t="str">
        <f>"81983777776"</f>
        <v>81983777776</v>
      </c>
      <c r="C234" t="str">
        <f>"EVERYDAY COUNTER-BIRTHDAY PKG/6-U0398"</f>
        <v>EVERYDAY COUNTER-BIRTHDAY PKG/6-U0398</v>
      </c>
      <c r="D234" t="str">
        <f>"U0398"</f>
        <v>U0398</v>
      </c>
      <c r="E234" t="str">
        <f>"ED24C001"</f>
        <v>ED24C001</v>
      </c>
    </row>
    <row r="235" spans="1:5" x14ac:dyDescent="0.25">
      <c r="A235" t="str">
        <f>"308177"</f>
        <v>308177</v>
      </c>
      <c r="B235" s="1" t="str">
        <f>"81983528941"</f>
        <v>81983528941</v>
      </c>
      <c r="C235" t="str">
        <f>"EVERYDAY COUNTER-BD SPECIAL FRIEND-84665"</f>
        <v>EVERYDAY COUNTER-BD SPECIAL FRIEND-84665</v>
      </c>
      <c r="D235" t="str">
        <f>"84665"</f>
        <v>84665</v>
      </c>
      <c r="E235" t="str">
        <f>"ED24C002"</f>
        <v>ED24C002</v>
      </c>
    </row>
    <row r="236" spans="1:5" x14ac:dyDescent="0.25">
      <c r="A236" t="str">
        <f>"308333"</f>
        <v>308333</v>
      </c>
      <c r="B236" s="1" t="str">
        <f>"81983717864"</f>
        <v>81983717864</v>
      </c>
      <c r="C236" t="str">
        <f>"EVERYDAY COUNTER-BIRTHDAY HUMOR PKG/6-J0364"</f>
        <v>EVERYDAY COUNTER-BIRTHDAY HUMOR PKG/6-J0364</v>
      </c>
      <c r="D236" t="str">
        <f>"J0364"</f>
        <v>J0364</v>
      </c>
      <c r="E236" t="str">
        <f>"ED24C003"</f>
        <v>ED24C003</v>
      </c>
    </row>
    <row r="237" spans="1:5" x14ac:dyDescent="0.25">
      <c r="A237" t="str">
        <f>"345277"</f>
        <v>345277</v>
      </c>
      <c r="B237" s="1" t="str">
        <f>"81983794643"</f>
        <v>81983794643</v>
      </c>
      <c r="C237" t="str">
        <f>"EVERYDAY COUNTER-WEDDING PKG/6-U2683"</f>
        <v>EVERYDAY COUNTER-WEDDING PKG/6-U2683</v>
      </c>
      <c r="D237" t="str">
        <f>"U2683"</f>
        <v>U2683</v>
      </c>
      <c r="E237" t="str">
        <f>"ED24C004"</f>
        <v>ED24C004</v>
      </c>
    </row>
    <row r="238" spans="1:5" x14ac:dyDescent="0.25">
      <c r="A238" t="str">
        <f>"345276"</f>
        <v>345276</v>
      </c>
      <c r="B238" s="1" t="str">
        <f>"81983794636"</f>
        <v>81983794636</v>
      </c>
      <c r="C238" t="str">
        <f>"EVERYDAY COUNTER-WEDDING PKG/6-U2682"</f>
        <v>EVERYDAY COUNTER-WEDDING PKG/6-U2682</v>
      </c>
      <c r="D238" t="str">
        <f>"U2682"</f>
        <v>U2682</v>
      </c>
      <c r="E238" t="str">
        <f>"ED24C005"</f>
        <v>ED24C005</v>
      </c>
    </row>
    <row r="239" spans="1:5" x14ac:dyDescent="0.25">
      <c r="A239" t="str">
        <f>"308481"</f>
        <v>308481</v>
      </c>
      <c r="B239" s="1" t="str">
        <f>"81983774881"</f>
        <v>81983774881</v>
      </c>
      <c r="C239" t="str">
        <f>"EVERYDAY COUNTER-WEDDING/WEDDING CAKE-WITH JOY PKG/6-J3472"</f>
        <v>EVERYDAY COUNTER-WEDDING/WEDDING CAKE-WITH JOY PKG/6-J3472</v>
      </c>
      <c r="D239" t="str">
        <f>"J3472"</f>
        <v>J3472</v>
      </c>
      <c r="E239" t="str">
        <f>"ED24C006"</f>
        <v>ED24C006</v>
      </c>
    </row>
    <row r="240" spans="1:5" x14ac:dyDescent="0.25">
      <c r="A240" t="str">
        <f>"308121"</f>
        <v>308121</v>
      </c>
      <c r="B240" s="1" t="str">
        <f>"81983603167"</f>
        <v>81983603167</v>
      </c>
      <c r="C240" t="str">
        <f>"EVERYDAY COUNTER-WEDDING-78858"</f>
        <v>EVERYDAY COUNTER-WEDDING-78858</v>
      </c>
      <c r="D240" t="str">
        <f>"78858"</f>
        <v>78858</v>
      </c>
      <c r="E240" t="str">
        <f>"ED24C007"</f>
        <v>ED24C007</v>
      </c>
    </row>
    <row r="241" spans="1:5" x14ac:dyDescent="0.25">
      <c r="A241" t="str">
        <f>"298681"</f>
        <v>298681</v>
      </c>
      <c r="B241" s="1" t="str">
        <f>"81983772757"</f>
        <v>81983772757</v>
      </c>
      <c r="C241" t="str">
        <f>"EVERYDAY COUNTER-ANNIVERSARY PKG/6-10251"</f>
        <v>EVERYDAY COUNTER-ANNIVERSARY PKG/6-10251</v>
      </c>
      <c r="D241" t="str">
        <f>"10251"</f>
        <v>10251</v>
      </c>
      <c r="E241" t="str">
        <f>"ED24C008"</f>
        <v>ED24C008</v>
      </c>
    </row>
    <row r="242" spans="1:5" x14ac:dyDescent="0.25">
      <c r="A242" t="str">
        <f>"349477"</f>
        <v>349477</v>
      </c>
      <c r="B242" s="1" t="str">
        <f>"81983777783"</f>
        <v>81983777783</v>
      </c>
      <c r="C242" t="str">
        <f>"EVERYDAY COUNTER-BIRTHDAY PKG/6-U0399"</f>
        <v>EVERYDAY COUNTER-BIRTHDAY PKG/6-U0399</v>
      </c>
      <c r="D242" t="str">
        <f>"U0399"</f>
        <v>U0399</v>
      </c>
      <c r="E242" t="str">
        <f>"ED24C009"</f>
        <v>ED24C009</v>
      </c>
    </row>
    <row r="243" spans="1:5" x14ac:dyDescent="0.25">
      <c r="A243" t="str">
        <f>"308174"</f>
        <v>308174</v>
      </c>
      <c r="B243" s="1" t="str">
        <f>"81983773259"</f>
        <v>81983773259</v>
      </c>
      <c r="C243" t="str">
        <f>"EVERYDAY COUNTER-SPECIAL FRIEND FEMININE-84660"</f>
        <v>EVERYDAY COUNTER-SPECIAL FRIEND FEMININE-84660</v>
      </c>
      <c r="D243" t="str">
        <f>"84660"</f>
        <v>84660</v>
      </c>
      <c r="E243" t="str">
        <f>"ED24C010"</f>
        <v>ED24C010</v>
      </c>
    </row>
    <row r="244" spans="1:5" x14ac:dyDescent="0.25">
      <c r="A244" t="str">
        <f>"349502"</f>
        <v>349502</v>
      </c>
      <c r="B244" s="1" t="str">
        <f>"81983777622"</f>
        <v>81983777622</v>
      </c>
      <c r="C244" t="str">
        <f>"EVERYDAY COUNTER-BIRTHDAY PKG/6-U0383"</f>
        <v>EVERYDAY COUNTER-BIRTHDAY PKG/6-U0383</v>
      </c>
      <c r="D244" t="str">
        <f>"U0383"</f>
        <v>U0383</v>
      </c>
      <c r="E244" t="str">
        <f>"ED24C011"</f>
        <v>ED24C011</v>
      </c>
    </row>
    <row r="245" spans="1:5" x14ac:dyDescent="0.25">
      <c r="A245" t="str">
        <f>"345275"</f>
        <v>345275</v>
      </c>
      <c r="B245" s="1" t="str">
        <f>"81983794629"</f>
        <v>81983794629</v>
      </c>
      <c r="C245" t="str">
        <f>"EVERYDAY COUNTER-WEDDING PKG/6-U2681"</f>
        <v>EVERYDAY COUNTER-WEDDING PKG/6-U2681</v>
      </c>
      <c r="D245" t="str">
        <f>"U2681"</f>
        <v>U2681</v>
      </c>
      <c r="E245" t="str">
        <f>"ED24C012"</f>
        <v>ED24C012</v>
      </c>
    </row>
    <row r="246" spans="1:5" x14ac:dyDescent="0.25">
      <c r="A246" t="str">
        <f>"401615"</f>
        <v>401615</v>
      </c>
      <c r="B246" s="1" t="str">
        <f>"81983768545"</f>
        <v>81983768545</v>
      </c>
      <c r="C246" t="str">
        <f>"EVERYDAY COUNTER-WEDDING-HL PREMIUM (PACK OF 2)-J9574"</f>
        <v>EVERYDAY COUNTER-WEDDING-HL PREMIUM (PACK OF 2)-J9574</v>
      </c>
      <c r="D246" t="str">
        <f>"J9574"</f>
        <v>J9574</v>
      </c>
      <c r="E246" t="str">
        <f>"ED24C013"</f>
        <v>ED24C013</v>
      </c>
    </row>
    <row r="247" spans="1:5" x14ac:dyDescent="0.25">
      <c r="A247" t="str">
        <f>"308237"</f>
        <v>308237</v>
      </c>
      <c r="B247" s="1" t="str">
        <f>"81983677571"</f>
        <v>81983677571</v>
      </c>
      <c r="C247" t="str">
        <f>"EVERYDAY COUNTER-WEDDING PKG/6-92025"</f>
        <v>EVERYDAY COUNTER-WEDDING PKG/6-92025</v>
      </c>
      <c r="D247" t="str">
        <f>"92025"</f>
        <v>92025</v>
      </c>
      <c r="E247" t="str">
        <f>"ED24C014"</f>
        <v>ED24C014</v>
      </c>
    </row>
    <row r="248" spans="1:5" x14ac:dyDescent="0.25">
      <c r="A248" t="str">
        <f>"279541"</f>
        <v>279541</v>
      </c>
      <c r="B248" s="1" t="str">
        <f>"81983774898"</f>
        <v>81983774898</v>
      </c>
      <c r="C248" t="str">
        <f>"EVERYDAY COUNTER-WEDDING PKG/6-J5563"</f>
        <v>EVERYDAY COUNTER-WEDDING PKG/6-J5563</v>
      </c>
      <c r="D248" t="str">
        <f>"J5563"</f>
        <v>J5563</v>
      </c>
      <c r="E248" t="str">
        <f>"ED24C015"</f>
        <v>ED24C015</v>
      </c>
    </row>
    <row r="249" spans="1:5" x14ac:dyDescent="0.25">
      <c r="A249" t="str">
        <f>"298679"</f>
        <v>298679</v>
      </c>
      <c r="B249" s="1" t="str">
        <f>"81983772740"</f>
        <v>81983772740</v>
      </c>
      <c r="C249" t="str">
        <f>"EVERYDAY COUNTER-ANNIVERSARY 60TH PKG/6-10249"</f>
        <v>EVERYDAY COUNTER-ANNIVERSARY 60TH PKG/6-10249</v>
      </c>
      <c r="D249" t="str">
        <f>"10249"</f>
        <v>10249</v>
      </c>
      <c r="E249" t="str">
        <f>"ED24C016"</f>
        <v>ED24C016</v>
      </c>
    </row>
    <row r="250" spans="1:5" x14ac:dyDescent="0.25">
      <c r="A250" t="str">
        <f>"279701"</f>
        <v>279701</v>
      </c>
      <c r="B250" s="1" t="str">
        <f>"81983773020"</f>
        <v>81983773020</v>
      </c>
      <c r="C250" t="str">
        <f>"EVERYDAY COUNTER-BIRTHDAY-FEMININE PKG/6-J9000"</f>
        <v>EVERYDAY COUNTER-BIRTHDAY-FEMININE PKG/6-J9000</v>
      </c>
      <c r="D250" t="str">
        <f>"J9000"</f>
        <v>J9000</v>
      </c>
      <c r="E250" t="str">
        <f>"ED24C017"</f>
        <v>ED24C017</v>
      </c>
    </row>
    <row r="251" spans="1:5" x14ac:dyDescent="0.25">
      <c r="A251" t="str">
        <f>"308176"</f>
        <v>308176</v>
      </c>
      <c r="B251" s="1" t="str">
        <f>"81983678707"</f>
        <v>81983678707</v>
      </c>
      <c r="C251" t="str">
        <f>"EVERYDAY COUNTER-SPECIAL FRIEND FEMINE-84664"</f>
        <v>EVERYDAY COUNTER-SPECIAL FRIEND FEMINE-84664</v>
      </c>
      <c r="D251" t="str">
        <f>"84664"</f>
        <v>84664</v>
      </c>
      <c r="E251" t="str">
        <f>"ED24C018"</f>
        <v>ED24C018</v>
      </c>
    </row>
    <row r="252" spans="1:5" x14ac:dyDescent="0.25">
      <c r="A252" t="str">
        <f>"349503"</f>
        <v>349503</v>
      </c>
      <c r="B252" s="1" t="str">
        <f>"81983777639"</f>
        <v>81983777639</v>
      </c>
      <c r="C252" t="str">
        <f>"EVERYDAY COUNTER-BIRTHDAY PKG/6-U0384"</f>
        <v>EVERYDAY COUNTER-BIRTHDAY PKG/6-U0384</v>
      </c>
      <c r="D252" t="str">
        <f>"U0384"</f>
        <v>U0384</v>
      </c>
      <c r="E252" t="str">
        <f>"ED24C019"</f>
        <v>ED24C019</v>
      </c>
    </row>
    <row r="253" spans="1:5" x14ac:dyDescent="0.25">
      <c r="A253" t="str">
        <f>"345224"</f>
        <v>345224</v>
      </c>
      <c r="B253" s="1" t="str">
        <f>"81983788994"</f>
        <v>81983788994</v>
      </c>
      <c r="C253" t="str">
        <f>"EVERYDAY COUNTER-WEDDING-PREMIUM PKG/2"</f>
        <v>EVERYDAY COUNTER-WEDDING-PREMIUM PKG/2</v>
      </c>
      <c r="D253" t="str">
        <f>"U1985"</f>
        <v>U1985</v>
      </c>
      <c r="E253" t="str">
        <f>"ED24C020"</f>
        <v>ED24C020</v>
      </c>
    </row>
    <row r="254" spans="1:5" x14ac:dyDescent="0.25">
      <c r="A254" t="str">
        <f>"345226"</f>
        <v>345226</v>
      </c>
      <c r="B254" s="1" t="str">
        <f>"81983789014"</f>
        <v>81983789014</v>
      </c>
      <c r="C254" t="str">
        <f>"EVERYDAY COUNTER-WEDDING-PREMIUM PKG/2"</f>
        <v>EVERYDAY COUNTER-WEDDING-PREMIUM PKG/2</v>
      </c>
      <c r="D254" t="str">
        <f>"U1987"</f>
        <v>U1987</v>
      </c>
      <c r="E254" t="str">
        <f>"ED24C021"</f>
        <v>ED24C021</v>
      </c>
    </row>
    <row r="255" spans="1:5" x14ac:dyDescent="0.25">
      <c r="A255" t="str">
        <f>"279538"</f>
        <v>279538</v>
      </c>
      <c r="B255" s="1" t="str">
        <f>"81983738944"</f>
        <v>81983738944</v>
      </c>
      <c r="C255" t="str">
        <f>"EVERYDAY COUNTER-WEDDING PKG/6-J5561"</f>
        <v>EVERYDAY COUNTER-WEDDING PKG/6-J5561</v>
      </c>
      <c r="D255" t="str">
        <f>"J5561"</f>
        <v>J5561</v>
      </c>
      <c r="E255" t="str">
        <f>"ED24C022"</f>
        <v>ED24C022</v>
      </c>
    </row>
    <row r="256" spans="1:5" x14ac:dyDescent="0.25">
      <c r="A256" t="str">
        <f>"279648"</f>
        <v>279648</v>
      </c>
      <c r="B256" s="1" t="str">
        <f>"81983757877"</f>
        <v>81983757877</v>
      </c>
      <c r="C256" t="str">
        <f>"EVERYDAY COUNTER-WEDDING PKG/6-J8235"</f>
        <v>EVERYDAY COUNTER-WEDDING PKG/6-J8235</v>
      </c>
      <c r="D256" t="str">
        <f>"J8235"</f>
        <v>J8235</v>
      </c>
      <c r="E256" t="str">
        <f>"ED24C023"</f>
        <v>ED24C023</v>
      </c>
    </row>
    <row r="257" spans="1:5" x14ac:dyDescent="0.25">
      <c r="A257" t="str">
        <f>"308129"</f>
        <v>308129</v>
      </c>
      <c r="B257" s="1" t="str">
        <f>"81983602887"</f>
        <v>81983602887</v>
      </c>
      <c r="C257" t="str">
        <f>"EVERYDAY COUNTER-50TH ANNIVERSARY/GOLD LETTERS PKG/6-79209"</f>
        <v>EVERYDAY COUNTER-50TH ANNIVERSARY/GOLD LETTERS PKG/6-79209</v>
      </c>
      <c r="D257" t="str">
        <f>"79209"</f>
        <v>79209</v>
      </c>
      <c r="E257" t="str">
        <f>"ED24C024"</f>
        <v>ED24C024</v>
      </c>
    </row>
    <row r="258" spans="1:5" x14ac:dyDescent="0.25">
      <c r="A258" t="str">
        <f>"308273"</f>
        <v>308273</v>
      </c>
      <c r="B258" s="1" t="str">
        <f>"81983682490"</f>
        <v>81983682490</v>
      </c>
      <c r="C258" t="str">
        <f>"EVERYDAY COUNTER-BIRTHDAY-FEMININE PKG/6-J0023"</f>
        <v>EVERYDAY COUNTER-BIRTHDAY-FEMININE PKG/6-J0023</v>
      </c>
      <c r="D258" t="str">
        <f>"J0023"</f>
        <v>J0023</v>
      </c>
      <c r="E258" t="str">
        <f>"ED24C025"</f>
        <v>ED24C025</v>
      </c>
    </row>
    <row r="259" spans="1:5" x14ac:dyDescent="0.25">
      <c r="A259" t="str">
        <f>"308399"</f>
        <v>308399</v>
      </c>
      <c r="B259" s="1" t="str">
        <f>"81983773235"</f>
        <v>81983773235</v>
      </c>
      <c r="C259" t="str">
        <f>"EVERYDAY COUNTER-BIRTHDAY SPECIAL FRIEND FEM PKG/6-J2731"</f>
        <v>EVERYDAY COUNTER-BIRTHDAY SPECIAL FRIEND FEM PKG/6-J2731</v>
      </c>
      <c r="D259" t="str">
        <f>"J2731"</f>
        <v>J2731</v>
      </c>
      <c r="E259" t="str">
        <f>"ED24C026"</f>
        <v>ED24C026</v>
      </c>
    </row>
    <row r="260" spans="1:5" x14ac:dyDescent="0.25">
      <c r="A260" t="str">
        <f>"349495"</f>
        <v>349495</v>
      </c>
      <c r="B260" s="1" t="str">
        <f>"81983777646"</f>
        <v>81983777646</v>
      </c>
      <c r="C260" t="str">
        <f>"EVERYDAY COUNTER-BIRTHDAY PKG/6-U0385"</f>
        <v>EVERYDAY COUNTER-BIRTHDAY PKG/6-U0385</v>
      </c>
      <c r="D260" t="str">
        <f>"U0385"</f>
        <v>U0385</v>
      </c>
      <c r="E260" t="str">
        <f>"ED24C027"</f>
        <v>ED24C027</v>
      </c>
    </row>
    <row r="261" spans="1:5" x14ac:dyDescent="0.25">
      <c r="A261" t="str">
        <f>"345225"</f>
        <v>345225</v>
      </c>
      <c r="B261" s="1" t="str">
        <f>"81983789007"</f>
        <v>81983789007</v>
      </c>
      <c r="C261" t="str">
        <f>"EVERYDAY COUNTER-WEDDING-PREMIUM PKG/2"</f>
        <v>EVERYDAY COUNTER-WEDDING-PREMIUM PKG/2</v>
      </c>
      <c r="D261" t="str">
        <f>"U1986"</f>
        <v>U1986</v>
      </c>
      <c r="E261" t="str">
        <f>"ED24C028"</f>
        <v>ED24C028</v>
      </c>
    </row>
    <row r="262" spans="1:5" x14ac:dyDescent="0.25">
      <c r="A262" t="str">
        <f>"345274"</f>
        <v>345274</v>
      </c>
      <c r="B262" s="1" t="str">
        <f>"81983794612"</f>
        <v>81983794612</v>
      </c>
      <c r="C262" t="str">
        <f>"EVERYDAY COUNTER-WEDDING PKG/6-U2680"</f>
        <v>EVERYDAY COUNTER-WEDDING PKG/6-U2680</v>
      </c>
      <c r="D262" t="str">
        <f>"U2680"</f>
        <v>U2680</v>
      </c>
      <c r="E262" t="str">
        <f>"ED24C029"</f>
        <v>ED24C029</v>
      </c>
    </row>
    <row r="263" spans="1:5" x14ac:dyDescent="0.25">
      <c r="A263" t="str">
        <f>"279535"</f>
        <v>279535</v>
      </c>
      <c r="B263" s="1" t="str">
        <f>"81983738913"</f>
        <v>81983738913</v>
      </c>
      <c r="C263" t="str">
        <f>"EVERYDAY COUNTER-WEDDING PKG/6-J5558"</f>
        <v>EVERYDAY COUNTER-WEDDING PKG/6-J5558</v>
      </c>
      <c r="D263" t="str">
        <f>"J5558"</f>
        <v>J5558</v>
      </c>
      <c r="E263" t="str">
        <f>"ED24C030"</f>
        <v>ED24C030</v>
      </c>
    </row>
    <row r="264" spans="1:5" x14ac:dyDescent="0.25">
      <c r="A264" t="str">
        <f>"308264"</f>
        <v>308264</v>
      </c>
      <c r="B264" s="1" t="str">
        <f>"81983679575"</f>
        <v>81983679575</v>
      </c>
      <c r="C264" t="str">
        <f>"EVERYDAY COUNTER-WEDDING PKG/6-93235"</f>
        <v>EVERYDAY COUNTER-WEDDING PKG/6-93235</v>
      </c>
      <c r="D264" t="str">
        <f>"93235"</f>
        <v>93235</v>
      </c>
      <c r="E264" t="str">
        <f>"ED24C031"</f>
        <v>ED24C031</v>
      </c>
    </row>
    <row r="265" spans="1:5" x14ac:dyDescent="0.25">
      <c r="A265" t="str">
        <f>"308434"</f>
        <v>308434</v>
      </c>
      <c r="B265" s="1" t="str">
        <f>"81983721540"</f>
        <v>81983721540</v>
      </c>
      <c r="C265" t="str">
        <f>"EVERYDAY COUNTER-ANNIVERSARY/WARM CONGRATS ON YOUR 50TH PKG/6-J3406"</f>
        <v>EVERYDAY COUNTER-ANNIVERSARY/WARM CONGRATS ON YOUR 50TH PKG/6-J3406</v>
      </c>
      <c r="D265" t="str">
        <f>"J3406"</f>
        <v>J3406</v>
      </c>
      <c r="E265" t="str">
        <f>"ED24C032"</f>
        <v>ED24C032</v>
      </c>
    </row>
    <row r="266" spans="1:5" x14ac:dyDescent="0.25">
      <c r="A266" t="str">
        <f>"308274"</f>
        <v>308274</v>
      </c>
      <c r="B266" s="1" t="str">
        <f>"81983773082"</f>
        <v>81983773082</v>
      </c>
      <c r="C266" t="str">
        <f>"EVERYDAY COUNTER-BIRTHDAY-FEMININE PKG/6-J0024"</f>
        <v>EVERYDAY COUNTER-BIRTHDAY-FEMININE PKG/6-J0024</v>
      </c>
      <c r="D266" t="str">
        <f>"J0024"</f>
        <v>J0024</v>
      </c>
      <c r="E266" t="str">
        <f>"ED24C033"</f>
        <v>ED24C033</v>
      </c>
    </row>
    <row r="267" spans="1:5" x14ac:dyDescent="0.25">
      <c r="A267" t="str">
        <f>"298766"</f>
        <v>298766</v>
      </c>
      <c r="B267" s="1" t="str">
        <f>"81983773273"</f>
        <v>81983773273</v>
      </c>
      <c r="C267" t="str">
        <f>"EVERYDAY COUNTER-BIRTHDAY-SPECIAL FRIEND-11794"</f>
        <v>EVERYDAY COUNTER-BIRTHDAY-SPECIAL FRIEND-11794</v>
      </c>
      <c r="D267" t="str">
        <f>"11794"</f>
        <v>11794</v>
      </c>
      <c r="E267" t="str">
        <f>"ED24C034"</f>
        <v>ED24C034</v>
      </c>
    </row>
    <row r="268" spans="1:5" x14ac:dyDescent="0.25">
      <c r="A268" t="str">
        <f>"349498"</f>
        <v>349498</v>
      </c>
      <c r="B268" s="1" t="str">
        <f>"81983777653"</f>
        <v>81983777653</v>
      </c>
      <c r="C268" t="str">
        <f>"EVERYDAY COUNTER-BIRTHDAY PKG/6-U0386"</f>
        <v>EVERYDAY COUNTER-BIRTHDAY PKG/6-U0386</v>
      </c>
      <c r="D268" t="str">
        <f>"U0386"</f>
        <v>U0386</v>
      </c>
      <c r="E268" t="str">
        <f>"ED24C035"</f>
        <v>ED24C035</v>
      </c>
    </row>
    <row r="269" spans="1:5" x14ac:dyDescent="0.25">
      <c r="A269" t="str">
        <f>"308373"</f>
        <v>308373</v>
      </c>
      <c r="B269" s="1" t="str">
        <f>"81983714832"</f>
        <v>81983714832</v>
      </c>
      <c r="C269" t="str">
        <f>"EVERYDAY COUNTER-BD PASTOR PKG/6-J2709"</f>
        <v>EVERYDAY COUNTER-BD PASTOR PKG/6-J2709</v>
      </c>
      <c r="D269" t="str">
        <f>"J2709"</f>
        <v>J2709</v>
      </c>
      <c r="E269" t="str">
        <f>"ED24C036"</f>
        <v>ED24C036</v>
      </c>
    </row>
    <row r="270" spans="1:5" x14ac:dyDescent="0.25">
      <c r="A270" t="str">
        <f>"279647"</f>
        <v>279647</v>
      </c>
      <c r="B270" s="1" t="str">
        <f>"81983757860"</f>
        <v>81983757860</v>
      </c>
      <c r="C270" t="str">
        <f>"EVERYDAY COUNTER-WEDDING-ENGAGEMENT PKG/6-J8234"</f>
        <v>EVERYDAY COUNTER-WEDDING-ENGAGEMENT PKG/6-J8234</v>
      </c>
      <c r="D270" t="str">
        <f>"J8234"</f>
        <v>J8234</v>
      </c>
      <c r="E270" t="str">
        <f>"ED24C037"</f>
        <v>ED24C037</v>
      </c>
    </row>
    <row r="271" spans="1:5" x14ac:dyDescent="0.25">
      <c r="A271" t="str">
        <f>"308238"</f>
        <v>308238</v>
      </c>
      <c r="B271" s="1" t="str">
        <f>"81983774805"</f>
        <v>81983774805</v>
      </c>
      <c r="C271" t="str">
        <f>"EVERYDAY COUNTER-WEDDING PKG/6-92026"</f>
        <v>EVERYDAY COUNTER-WEDDING PKG/6-92026</v>
      </c>
      <c r="D271" t="str">
        <f>"92026"</f>
        <v>92026</v>
      </c>
      <c r="E271" t="str">
        <f>"ED24C038"</f>
        <v>ED24C038</v>
      </c>
    </row>
    <row r="272" spans="1:5" x14ac:dyDescent="0.25">
      <c r="A272" t="str">
        <f>"279653"</f>
        <v>279653</v>
      </c>
      <c r="B272" s="1" t="str">
        <f>"81983757891"</f>
        <v>81983757891</v>
      </c>
      <c r="C272" t="str">
        <f>"EVERYDAY COUNTER-WEDDING PKG/6-J8237"</f>
        <v>EVERYDAY COUNTER-WEDDING PKG/6-J8237</v>
      </c>
      <c r="D272" t="str">
        <f>"J8237"</f>
        <v>J8237</v>
      </c>
      <c r="E272" t="str">
        <f>"ED24C039"</f>
        <v>ED24C039</v>
      </c>
    </row>
    <row r="273" spans="1:5" x14ac:dyDescent="0.25">
      <c r="A273" t="str">
        <f>"298672"</f>
        <v>298672</v>
      </c>
      <c r="B273" s="1" t="str">
        <f>"81983772733"</f>
        <v>81983772733</v>
      </c>
      <c r="C273" t="str">
        <f>"EVERYDAY COUNTER-ANNIVERSARY 50TH PKG/6-10236"</f>
        <v>EVERYDAY COUNTER-ANNIVERSARY 50TH PKG/6-10236</v>
      </c>
      <c r="D273" t="str">
        <f>"10236"</f>
        <v>10236</v>
      </c>
      <c r="E273" t="str">
        <f>"ED24C040"</f>
        <v>ED24C040</v>
      </c>
    </row>
    <row r="274" spans="1:5" x14ac:dyDescent="0.25">
      <c r="A274" t="str">
        <f>"308374"</f>
        <v>308374</v>
      </c>
      <c r="B274" s="1" t="str">
        <f>"81983773068"</f>
        <v>81983773068</v>
      </c>
      <c r="C274" t="str">
        <f>"EVERYDAY COUNTER-BD GENERAL FEMININE MED PKG/6-J2710"</f>
        <v>EVERYDAY COUNTER-BD GENERAL FEMININE MED PKG/6-J2710</v>
      </c>
      <c r="D274" t="str">
        <f>"J2710"</f>
        <v>J2710</v>
      </c>
      <c r="E274" t="str">
        <f>"ED24C041"</f>
        <v>ED24C041</v>
      </c>
    </row>
    <row r="275" spans="1:5" x14ac:dyDescent="0.25">
      <c r="A275" t="str">
        <f>"349522"</f>
        <v>349522</v>
      </c>
      <c r="B275" s="1" t="str">
        <f>"81983777936"</f>
        <v>81983777936</v>
      </c>
      <c r="C275" t="str">
        <f>"EVERYDAY COUNTER-BIRTHDAY PKG/6-U0414"</f>
        <v>EVERYDAY COUNTER-BIRTHDAY PKG/6-U0414</v>
      </c>
      <c r="D275" t="str">
        <f>"U0414"</f>
        <v>U0414</v>
      </c>
      <c r="E275" t="str">
        <f>"ED24C042"</f>
        <v>ED24C042</v>
      </c>
    </row>
    <row r="276" spans="1:5" x14ac:dyDescent="0.25">
      <c r="A276" t="str">
        <f>"308336"</f>
        <v>308336</v>
      </c>
      <c r="B276" s="1" t="str">
        <f>"81983717840"</f>
        <v>81983717840</v>
      </c>
      <c r="C276" t="str">
        <f>"EVERYDAY COUNTER-BIRTHDAY HUMOR PKG/6-J0367"</f>
        <v>EVERYDAY COUNTER-BIRTHDAY HUMOR PKG/6-J0367</v>
      </c>
      <c r="D276" t="str">
        <f>"J0367"</f>
        <v>J0367</v>
      </c>
      <c r="E276" t="str">
        <f>"ED24C043"</f>
        <v>ED24C043</v>
      </c>
    </row>
    <row r="277" spans="1:5" x14ac:dyDescent="0.25">
      <c r="A277" t="str">
        <f>"349469"</f>
        <v>349469</v>
      </c>
      <c r="B277" s="1" t="str">
        <f>"81983777769"</f>
        <v>81983777769</v>
      </c>
      <c r="C277" t="str">
        <f>"EVERYDAY COUNTER-BIRTHDAY PKG/6-U0397"</f>
        <v>EVERYDAY COUNTER-BIRTHDAY PKG/6-U0397</v>
      </c>
      <c r="D277" t="str">
        <f>"U0397"</f>
        <v>U0397</v>
      </c>
      <c r="E277" t="str">
        <f>"ED24C044"</f>
        <v>ED24C044</v>
      </c>
    </row>
    <row r="278" spans="1:5" x14ac:dyDescent="0.25">
      <c r="A278" t="str">
        <f>"298743"</f>
        <v>298743</v>
      </c>
      <c r="B278" s="1" t="str">
        <f>"81983593307"</f>
        <v>81983593307</v>
      </c>
      <c r="C278" t="str">
        <f>"EVERYDAY COUNTER-WEDDING-ENGAGEMENT-11726"</f>
        <v>EVERYDAY COUNTER-WEDDING-ENGAGEMENT-11726</v>
      </c>
      <c r="D278" t="str">
        <f>"11726"</f>
        <v>11726</v>
      </c>
      <c r="E278" t="str">
        <f>"ED24C045"</f>
        <v>ED24C045</v>
      </c>
    </row>
    <row r="279" spans="1:5" x14ac:dyDescent="0.25">
      <c r="A279" t="str">
        <f>"308236"</f>
        <v>308236</v>
      </c>
      <c r="B279" s="1" t="str">
        <f>"81983774850"</f>
        <v>81983774850</v>
      </c>
      <c r="C279" t="str">
        <f>"EVERYDAY COUNTER-WEDDING PKG/6-92024"</f>
        <v>EVERYDAY COUNTER-WEDDING PKG/6-92024</v>
      </c>
      <c r="D279" t="str">
        <f>"92024"</f>
        <v>92024</v>
      </c>
      <c r="E279" t="str">
        <f>"ED24C046"</f>
        <v>ED24C046</v>
      </c>
    </row>
    <row r="280" spans="1:5" x14ac:dyDescent="0.25">
      <c r="A280" t="str">
        <f>"308116"</f>
        <v>308116</v>
      </c>
      <c r="B280" s="1" t="str">
        <f>"81983678615"</f>
        <v>81983678615</v>
      </c>
      <c r="C280" t="str">
        <f>"EVERYDAY COUNTER-WEDDING/JOINED TOGETHER RINGS-78842"</f>
        <v>EVERYDAY COUNTER-WEDDING/JOINED TOGETHER RINGS-78842</v>
      </c>
      <c r="D280" t="str">
        <f>"78842"</f>
        <v>78842</v>
      </c>
      <c r="E280" t="str">
        <f>"ED24C047"</f>
        <v>ED24C047</v>
      </c>
    </row>
    <row r="281" spans="1:5" x14ac:dyDescent="0.25">
      <c r="A281" t="str">
        <f>"298678"</f>
        <v>298678</v>
      </c>
      <c r="B281" s="1" t="str">
        <f>"81983772726"</f>
        <v>81983772726</v>
      </c>
      <c r="C281" t="str">
        <f>"EVERYDAY COUNTER-ANNIVERSARY 50TH PKG/6 -10248"</f>
        <v>EVERYDAY COUNTER-ANNIVERSARY 50TH PKG/6 -10248</v>
      </c>
      <c r="D281" t="str">
        <f>"10248"</f>
        <v>10248</v>
      </c>
      <c r="E281" t="str">
        <f>"ED24C048"</f>
        <v>ED24C048</v>
      </c>
    </row>
    <row r="282" spans="1:5" x14ac:dyDescent="0.25">
      <c r="A282" t="str">
        <f>"298740"</f>
        <v>298740</v>
      </c>
      <c r="B282" s="1" t="str">
        <f>"81983773112"</f>
        <v>81983773112</v>
      </c>
      <c r="C282" t="str">
        <f>"EVERYDAY COUNTER-BIRTHDAY-FEM-11719"</f>
        <v>EVERYDAY COUNTER-BIRTHDAY-FEM-11719</v>
      </c>
      <c r="D282" t="str">
        <f>"11719"</f>
        <v>11719</v>
      </c>
      <c r="E282" t="str">
        <f>"ED24C049"</f>
        <v>ED24C049</v>
      </c>
    </row>
    <row r="283" spans="1:5" x14ac:dyDescent="0.25">
      <c r="A283" t="str">
        <f>"308404"</f>
        <v>308404</v>
      </c>
      <c r="B283" s="1" t="str">
        <f>"81983715105"</f>
        <v>81983715105</v>
      </c>
      <c r="C283" t="str">
        <f>"EVERYDAY COUNTER-BIRTHDAY SPECIAL FRIEND FEM PKG/6-J2736"</f>
        <v>EVERYDAY COUNTER-BIRTHDAY SPECIAL FRIEND FEM PKG/6-J2736</v>
      </c>
      <c r="D283" t="str">
        <f>"J2736"</f>
        <v>J2736</v>
      </c>
      <c r="E283" t="str">
        <f>"ED24C050"</f>
        <v>ED24C050</v>
      </c>
    </row>
    <row r="284" spans="1:5" x14ac:dyDescent="0.25">
      <c r="A284" t="str">
        <f>"349496"</f>
        <v>349496</v>
      </c>
      <c r="B284" s="1" t="str">
        <f>"81983777660"</f>
        <v>81983777660</v>
      </c>
      <c r="C284" t="str">
        <f>"EVERYDAY COUNTER-BIRTHDAY PKG/6-U0387"</f>
        <v>EVERYDAY COUNTER-BIRTHDAY PKG/6-U0387</v>
      </c>
      <c r="D284" t="str">
        <f>"U0387"</f>
        <v>U0387</v>
      </c>
      <c r="E284" t="str">
        <f>"ED24C051"</f>
        <v>ED24C051</v>
      </c>
    </row>
    <row r="285" spans="1:5" x14ac:dyDescent="0.25">
      <c r="A285" t="str">
        <f>"279462"</f>
        <v>279462</v>
      </c>
      <c r="B285" s="1" t="str">
        <f>"81983738333"</f>
        <v>81983738333</v>
      </c>
      <c r="C285" t="str">
        <f>"EVERYDAY COUNTER-BIRTHDAY PASTOR PKG/6-J5500"</f>
        <v>EVERYDAY COUNTER-BIRTHDAY PASTOR PKG/6-J5500</v>
      </c>
      <c r="D285" t="str">
        <f>"J5500"</f>
        <v>J5500</v>
      </c>
      <c r="E285" t="str">
        <f>"ED24C052"</f>
        <v>ED24C052</v>
      </c>
    </row>
    <row r="286" spans="1:5" x14ac:dyDescent="0.25">
      <c r="A286" t="str">
        <f>"298713"</f>
        <v>298713</v>
      </c>
      <c r="B286" s="1" t="str">
        <f>"81983772344"</f>
        <v>81983772344</v>
      </c>
      <c r="C286" t="str">
        <f>"EVERYDAY COUNTER-WEDDING ENGAGEMENT PKG/6-J9946"</f>
        <v>EVERYDAY COUNTER-WEDDING ENGAGEMENT PKG/6-J9946</v>
      </c>
      <c r="D286" t="str">
        <f>"J9946"</f>
        <v>J9946</v>
      </c>
      <c r="E286" t="str">
        <f>"ED24C053"</f>
        <v>ED24C053</v>
      </c>
    </row>
    <row r="287" spans="1:5" x14ac:dyDescent="0.25">
      <c r="A287" t="str">
        <f>"279542"</f>
        <v>279542</v>
      </c>
      <c r="B287" s="1" t="str">
        <f>"81983774812"</f>
        <v>81983774812</v>
      </c>
      <c r="C287" t="str">
        <f>"EVERYDAY COUNTER-WEDDING PKG/6-J5564"</f>
        <v>EVERYDAY COUNTER-WEDDING PKG/6-J5564</v>
      </c>
      <c r="D287" t="str">
        <f>"J5564"</f>
        <v>J5564</v>
      </c>
      <c r="E287" t="str">
        <f>"ED24C054"</f>
        <v>ED24C054</v>
      </c>
    </row>
    <row r="288" spans="1:5" x14ac:dyDescent="0.25">
      <c r="A288" t="str">
        <f>"308235"</f>
        <v>308235</v>
      </c>
      <c r="B288" s="1" t="str">
        <f>"81983677557"</f>
        <v>81983677557</v>
      </c>
      <c r="C288" t="str">
        <f>"EVERYDAY COUNTER-WEDDING PKG/6-92018"</f>
        <v>EVERYDAY COUNTER-WEDDING PKG/6-92018</v>
      </c>
      <c r="D288" t="str">
        <f>"92018"</f>
        <v>92018</v>
      </c>
      <c r="E288" t="str">
        <f>"ED24C055"</f>
        <v>ED24C055</v>
      </c>
    </row>
    <row r="289" spans="1:5" x14ac:dyDescent="0.25">
      <c r="A289" t="str">
        <f>"308127"</f>
        <v>308127</v>
      </c>
      <c r="B289" s="1" t="str">
        <f>"81983771651"</f>
        <v>81983771651</v>
      </c>
      <c r="C289" t="str">
        <f>"EVERYDAY COUNTER-40TH ANNIVERSARY/HONORING YOU PKG/6-J9877"</f>
        <v>EVERYDAY COUNTER-40TH ANNIVERSARY/HONORING YOU PKG/6-J9877</v>
      </c>
      <c r="D289" t="str">
        <f>"J9877"</f>
        <v>J9877</v>
      </c>
      <c r="E289" t="str">
        <f>"ED24C056"</f>
        <v>ED24C056</v>
      </c>
    </row>
    <row r="290" spans="1:5" x14ac:dyDescent="0.25">
      <c r="A290" t="str">
        <f>"308172"</f>
        <v>308172</v>
      </c>
      <c r="B290" s="1" t="str">
        <f>"81983773051"</f>
        <v>81983773051</v>
      </c>
      <c r="C290" t="str">
        <f>"EVERYDAY COUNTER-BD GENERAL FEMININE-84592"</f>
        <v>EVERYDAY COUNTER-BD GENERAL FEMININE-84592</v>
      </c>
      <c r="D290" t="str">
        <f>"84592"</f>
        <v>84592</v>
      </c>
      <c r="E290" t="str">
        <f>"ED24C057"</f>
        <v>ED24C057</v>
      </c>
    </row>
    <row r="291" spans="1:5" x14ac:dyDescent="0.25">
      <c r="A291" t="str">
        <f>"308175"</f>
        <v>308175</v>
      </c>
      <c r="B291" s="1" t="str">
        <f>"81983678691"</f>
        <v>81983678691</v>
      </c>
      <c r="C291" t="str">
        <f>"EVERYDAY COUNTER-BD SPECIAL FRIEND-84661"</f>
        <v>EVERYDAY COUNTER-BD SPECIAL FRIEND-84661</v>
      </c>
      <c r="D291" t="str">
        <f>"84661"</f>
        <v>84661</v>
      </c>
      <c r="E291" t="str">
        <f>"ED24C058"</f>
        <v>ED24C058</v>
      </c>
    </row>
    <row r="292" spans="1:5" x14ac:dyDescent="0.25">
      <c r="A292" t="str">
        <f>"349500"</f>
        <v>349500</v>
      </c>
      <c r="B292" s="1" t="str">
        <f>"81983777677"</f>
        <v>81983777677</v>
      </c>
      <c r="C292" t="str">
        <f>"EVERYDAY COUNTER-BIRTHDAY PKG/6-U0388"</f>
        <v>EVERYDAY COUNTER-BIRTHDAY PKG/6-U0388</v>
      </c>
      <c r="D292" t="str">
        <f>"U0388"</f>
        <v>U0388</v>
      </c>
      <c r="E292" t="str">
        <f>"ED24C059"</f>
        <v>ED24C059</v>
      </c>
    </row>
    <row r="293" spans="1:5" x14ac:dyDescent="0.25">
      <c r="A293" t="str">
        <f>"279465"</f>
        <v>279465</v>
      </c>
      <c r="B293" s="1" t="str">
        <f>"81983738364"</f>
        <v>81983738364</v>
      </c>
      <c r="C293" t="str">
        <f>"EVERYDAY COUNTER-BIRTHDAY PASTOR'S WIFE PKG/6-J5503"</f>
        <v>EVERYDAY COUNTER-BIRTHDAY PASTOR'S WIFE PKG/6-J5503</v>
      </c>
      <c r="D293" t="str">
        <f>"J5503"</f>
        <v>J5503</v>
      </c>
      <c r="E293" t="str">
        <f>"ED24C060"</f>
        <v>ED24C060</v>
      </c>
    </row>
    <row r="294" spans="1:5" x14ac:dyDescent="0.25">
      <c r="A294" t="str">
        <f>"279646"</f>
        <v>279646</v>
      </c>
      <c r="B294" s="1" t="str">
        <f>"81983774720"</f>
        <v>81983774720</v>
      </c>
      <c r="C294" t="str">
        <f>"EVERYDAY COUNTER-WEDDING - SHOWER PKG/6-J8233"</f>
        <v>EVERYDAY COUNTER-WEDDING - SHOWER PKG/6-J8233</v>
      </c>
      <c r="D294" t="str">
        <f>"J8233"</f>
        <v>J8233</v>
      </c>
      <c r="E294" t="str">
        <f>"ED24C061"</f>
        <v>ED24C061</v>
      </c>
    </row>
    <row r="295" spans="1:5" x14ac:dyDescent="0.25">
      <c r="A295" t="str">
        <f>"308119"</f>
        <v>308119</v>
      </c>
      <c r="B295" s="1" t="str">
        <f>"81983678639"</f>
        <v>81983678639</v>
      </c>
      <c r="C295" t="str">
        <f>"EVERYDAY COUNTER-WEDDING-78848"</f>
        <v>EVERYDAY COUNTER-WEDDING-78848</v>
      </c>
      <c r="D295" t="str">
        <f>"78848"</f>
        <v>78848</v>
      </c>
      <c r="E295" t="str">
        <f>"ED24C062"</f>
        <v>ED24C062</v>
      </c>
    </row>
    <row r="296" spans="1:5" x14ac:dyDescent="0.25">
      <c r="A296" t="str">
        <f>"279654"</f>
        <v>279654</v>
      </c>
      <c r="B296" s="1" t="str">
        <f>"81983757907"</f>
        <v>81983757907</v>
      </c>
      <c r="C296" t="str">
        <f>"EVERYDAY COUNTER-WEDDING PKG/6-J8238"</f>
        <v>EVERYDAY COUNTER-WEDDING PKG/6-J8238</v>
      </c>
      <c r="D296" t="str">
        <f>"J8238"</f>
        <v>J8238</v>
      </c>
      <c r="E296" t="str">
        <f>"ED24C063"</f>
        <v>ED24C063</v>
      </c>
    </row>
    <row r="297" spans="1:5" x14ac:dyDescent="0.25">
      <c r="A297" t="str">
        <f>"308194"</f>
        <v>308194</v>
      </c>
      <c r="B297" s="1" t="str">
        <f>"81983677045"</f>
        <v>81983677045</v>
      </c>
      <c r="C297" t="str">
        <f>"EVERYDAY COUNTER-ANNIVERSARY-25TH PKG/6-91969"</f>
        <v>EVERYDAY COUNTER-ANNIVERSARY-25TH PKG/6-91969</v>
      </c>
      <c r="D297" t="str">
        <f>"91969"</f>
        <v>91969</v>
      </c>
      <c r="E297" t="str">
        <f>"ED24C064"</f>
        <v>ED24C064</v>
      </c>
    </row>
    <row r="298" spans="1:5" x14ac:dyDescent="0.25">
      <c r="A298" t="str">
        <f>"308382"</f>
        <v>308382</v>
      </c>
      <c r="B298" s="1" t="str">
        <f>"81983714917"</f>
        <v>81983714917</v>
      </c>
      <c r="C298" t="str">
        <f>"EVERYDAY COUNTER-BD GENERAL FEMININE PKG/6-J2717"</f>
        <v>EVERYDAY COUNTER-BD GENERAL FEMININE PKG/6-J2717</v>
      </c>
      <c r="D298" t="str">
        <f>"J2717"</f>
        <v>J2717</v>
      </c>
      <c r="E298" t="str">
        <f>"ED24C065"</f>
        <v>ED24C065</v>
      </c>
    </row>
    <row r="299" spans="1:5" x14ac:dyDescent="0.25">
      <c r="A299" t="str">
        <f>"279716"</f>
        <v>279716</v>
      </c>
      <c r="B299" s="1" t="str">
        <f>"81983773211"</f>
        <v>81983773211</v>
      </c>
      <c r="C299" t="str">
        <f>"EVERYDAY COUNTER-BIRTHDAY-SPECIAL FRIEND PKG/6-J9010"</f>
        <v>EVERYDAY COUNTER-BIRTHDAY-SPECIAL FRIEND PKG/6-J9010</v>
      </c>
      <c r="D299" t="str">
        <f>"J9010"</f>
        <v>J9010</v>
      </c>
      <c r="E299" t="str">
        <f>"ED24C066"</f>
        <v>ED24C066</v>
      </c>
    </row>
    <row r="300" spans="1:5" x14ac:dyDescent="0.25">
      <c r="A300" t="str">
        <f>"349499"</f>
        <v>349499</v>
      </c>
      <c r="B300" s="1" t="str">
        <f>"81983777684"</f>
        <v>81983777684</v>
      </c>
      <c r="C300" t="str">
        <f>"EVERYDAY COUNTER-BIRTHDAY PKG/6-U0389"</f>
        <v>EVERYDAY COUNTER-BIRTHDAY PKG/6-U0389</v>
      </c>
      <c r="D300" t="str">
        <f>"U0389"</f>
        <v>U0389</v>
      </c>
      <c r="E300" t="str">
        <f>"ED24C067"</f>
        <v>ED24C067</v>
      </c>
    </row>
    <row r="301" spans="1:5" x14ac:dyDescent="0.25">
      <c r="A301" t="str">
        <f>"279464"</f>
        <v>279464</v>
      </c>
      <c r="B301" s="1" t="str">
        <f>"81983738357"</f>
        <v>81983738357</v>
      </c>
      <c r="C301" t="str">
        <f>"EVERYDAY COUNTER-BIRTHDAY PASTOR'S WIFE PKG/6-J5502"</f>
        <v>EVERYDAY COUNTER-BIRTHDAY PASTOR'S WIFE PKG/6-J5502</v>
      </c>
      <c r="D301" t="str">
        <f>"J5502"</f>
        <v>J5502</v>
      </c>
      <c r="E301" t="str">
        <f>"ED24C068"</f>
        <v>ED24C068</v>
      </c>
    </row>
    <row r="302" spans="1:5" x14ac:dyDescent="0.25">
      <c r="A302" t="str">
        <f>"308480"</f>
        <v>308480</v>
      </c>
      <c r="B302" s="1" t="str">
        <f>"81983722189"</f>
        <v>81983722189</v>
      </c>
      <c r="C302" t="str">
        <f>"EVERYDAY COUNTER-WEDDING - BRIDAL SHOWER/LIFE-CHANGING YES PKG/6-J3470"</f>
        <v>EVERYDAY COUNTER-WEDDING - BRIDAL SHOWER/LIFE-CHANGING YES PKG/6-J3470</v>
      </c>
      <c r="D302" t="str">
        <f>"J3470"</f>
        <v>J3470</v>
      </c>
      <c r="E302" t="str">
        <f>"ED24C069"</f>
        <v>ED24C069</v>
      </c>
    </row>
    <row r="303" spans="1:5" x14ac:dyDescent="0.25">
      <c r="A303" t="str">
        <f>"308242"</f>
        <v>308242</v>
      </c>
      <c r="B303" s="1" t="str">
        <f>"81983677632"</f>
        <v>81983677632</v>
      </c>
      <c r="C303" t="str">
        <f>"EVERYDAY COUNTER-WEDDING PKG/6-92036"</f>
        <v>EVERYDAY COUNTER-WEDDING PKG/6-92036</v>
      </c>
      <c r="D303" t="str">
        <f>"92036"</f>
        <v>92036</v>
      </c>
      <c r="E303" t="str">
        <f>"ED24C070"</f>
        <v>ED24C070</v>
      </c>
    </row>
    <row r="304" spans="1:5" x14ac:dyDescent="0.25">
      <c r="A304" t="str">
        <f>"308240"</f>
        <v>308240</v>
      </c>
      <c r="B304" s="1" t="str">
        <f>"81983677601"</f>
        <v>81983677601</v>
      </c>
      <c r="C304" t="str">
        <f>"EVERYDAY COUNTER-WEDDING PKG/6-92030"</f>
        <v>EVERYDAY COUNTER-WEDDING PKG/6-92030</v>
      </c>
      <c r="D304" t="str">
        <f>"92030"</f>
        <v>92030</v>
      </c>
      <c r="E304" t="str">
        <f>"ED24C071"</f>
        <v>ED24C071</v>
      </c>
    </row>
    <row r="305" spans="1:5" x14ac:dyDescent="0.25">
      <c r="A305" t="str">
        <f>"308195"</f>
        <v>308195</v>
      </c>
      <c r="B305" s="1" t="str">
        <f>"81983772719"</f>
        <v>81983772719</v>
      </c>
      <c r="C305" t="str">
        <f>"EVERYDAY COUNTER-ANNIVERSARY-25TH PKG/6-91970"</f>
        <v>EVERYDAY COUNTER-ANNIVERSARY-25TH PKG/6-91970</v>
      </c>
      <c r="D305" t="str">
        <f>"91970"</f>
        <v>91970</v>
      </c>
      <c r="E305" t="str">
        <f>"ED24C072"</f>
        <v>ED24C072</v>
      </c>
    </row>
    <row r="306" spans="1:5" x14ac:dyDescent="0.25">
      <c r="A306" t="str">
        <f>"308381"</f>
        <v>308381</v>
      </c>
      <c r="B306" s="1" t="str">
        <f>"81983714900"</f>
        <v>81983714900</v>
      </c>
      <c r="C306" t="str">
        <f>"EVERYDAY COUNTER-BD GENERAL FEMININE PKG/6-J2716"</f>
        <v>EVERYDAY COUNTER-BD GENERAL FEMININE PKG/6-J2716</v>
      </c>
      <c r="D306" t="str">
        <f>"J2716"</f>
        <v>J2716</v>
      </c>
      <c r="E306" t="str">
        <f>"ED24C073"</f>
        <v>ED24C073</v>
      </c>
    </row>
    <row r="307" spans="1:5" x14ac:dyDescent="0.25">
      <c r="A307" t="str">
        <f>"349521"</f>
        <v>349521</v>
      </c>
      <c r="B307" s="1" t="str">
        <f>"81983777950"</f>
        <v>81983777950</v>
      </c>
      <c r="C307" t="str">
        <f>"EVERYDAY COUNTER-BIRTHDAY PKG/6-U0416"</f>
        <v>EVERYDAY COUNTER-BIRTHDAY PKG/6-U0416</v>
      </c>
      <c r="D307" t="str">
        <f>"U0416"</f>
        <v>U0416</v>
      </c>
      <c r="E307" t="str">
        <f>"ED24C074"</f>
        <v>ED24C074</v>
      </c>
    </row>
    <row r="308" spans="1:5" x14ac:dyDescent="0.25">
      <c r="A308" t="str">
        <f>"349493"</f>
        <v>349493</v>
      </c>
      <c r="B308" s="1" t="str">
        <f>"81983777691"</f>
        <v>81983777691</v>
      </c>
      <c r="C308" t="str">
        <f>"EVERYDAY COUNTER-BIRTHDAY PKG/6-U0390"</f>
        <v>EVERYDAY COUNTER-BIRTHDAY PKG/6-U0390</v>
      </c>
      <c r="D308" t="str">
        <f>"U0390"</f>
        <v>U0390</v>
      </c>
      <c r="E308" t="str">
        <f>"ED24C075"</f>
        <v>ED24C075</v>
      </c>
    </row>
    <row r="309" spans="1:5" x14ac:dyDescent="0.25">
      <c r="A309" t="str">
        <f>"298780"</f>
        <v>298780</v>
      </c>
      <c r="B309" s="1" t="str">
        <f>"81983728242"</f>
        <v>81983728242</v>
      </c>
      <c r="C309" t="str">
        <f>"EVERYDAY COUNTER-BD GODSON-21219"</f>
        <v>EVERYDAY COUNTER-BD GODSON-21219</v>
      </c>
      <c r="D309" t="str">
        <f>"21219"</f>
        <v>21219</v>
      </c>
      <c r="E309" t="str">
        <f>"ED24C076"</f>
        <v>ED24C076</v>
      </c>
    </row>
    <row r="310" spans="1:5" x14ac:dyDescent="0.25">
      <c r="A310" t="str">
        <f>"308479"</f>
        <v>308479</v>
      </c>
      <c r="B310" s="1" t="str">
        <f>"81983722172"</f>
        <v>81983722172</v>
      </c>
      <c r="C310" t="str">
        <f>"EVERYDAY COUNTER-WEDDING - BRIDAL SHOWER/A DREAM FULFILLED PKG/6-J3469"</f>
        <v>EVERYDAY COUNTER-WEDDING - BRIDAL SHOWER/A DREAM FULFILLED PKG/6-J3469</v>
      </c>
      <c r="D310" t="str">
        <f>"J3469"</f>
        <v>J3469</v>
      </c>
      <c r="E310" t="str">
        <f>"ED24C077"</f>
        <v>ED24C077</v>
      </c>
    </row>
    <row r="311" spans="1:5" x14ac:dyDescent="0.25">
      <c r="A311" t="str">
        <f>"298741"</f>
        <v>298741</v>
      </c>
      <c r="B311" s="1" t="str">
        <f>"81983772375"</f>
        <v>81983772375</v>
      </c>
      <c r="C311" t="str">
        <f>"EVERYDAY COUNTER-WEDDING-J9949"</f>
        <v>EVERYDAY COUNTER-WEDDING-J9949</v>
      </c>
      <c r="D311" t="str">
        <f>"J9949"</f>
        <v>J9949</v>
      </c>
      <c r="E311" t="str">
        <f>"ED24C078"</f>
        <v>ED24C078</v>
      </c>
    </row>
    <row r="312" spans="1:5" x14ac:dyDescent="0.25">
      <c r="A312" t="str">
        <f>"308122"</f>
        <v>308122</v>
      </c>
      <c r="B312" s="1" t="str">
        <f>"81983603051"</f>
        <v>81983603051</v>
      </c>
      <c r="C312" t="str">
        <f>"EVERYDAY COUNTER-WEDDING-78865"</f>
        <v>EVERYDAY COUNTER-WEDDING-78865</v>
      </c>
      <c r="D312" t="str">
        <f>"78865"</f>
        <v>78865</v>
      </c>
      <c r="E312" t="str">
        <f>"ED24C079"</f>
        <v>ED24C079</v>
      </c>
    </row>
    <row r="313" spans="1:5" x14ac:dyDescent="0.25">
      <c r="A313" t="str">
        <f>"308190"</f>
        <v>308190</v>
      </c>
      <c r="B313" s="1" t="str">
        <f>"81983676994"</f>
        <v>81983676994</v>
      </c>
      <c r="C313" t="str">
        <f>"EVERYDAY COUNTER-ANNIVERSARY-10TH PKG/6-91966"</f>
        <v>EVERYDAY COUNTER-ANNIVERSARY-10TH PKG/6-91966</v>
      </c>
      <c r="D313" t="str">
        <f>"91966"</f>
        <v>91966</v>
      </c>
      <c r="E313" t="str">
        <f>"ED24C080"</f>
        <v>ED24C080</v>
      </c>
    </row>
    <row r="314" spans="1:5" x14ac:dyDescent="0.25">
      <c r="A314" t="str">
        <f>"308281"</f>
        <v>308281</v>
      </c>
      <c r="B314" s="1" t="str">
        <f>"81983773075"</f>
        <v>81983773075</v>
      </c>
      <c r="C314" t="str">
        <f>"EVERYDAY COUNTER-BIRTHDAY FEMININE SMALL PKG/6-J0308"</f>
        <v>EVERYDAY COUNTER-BIRTHDAY FEMININE SMALL PKG/6-J0308</v>
      </c>
      <c r="D314" t="str">
        <f>"J0308"</f>
        <v>J0308</v>
      </c>
      <c r="E314" t="str">
        <f>"ED24C081"</f>
        <v>ED24C081</v>
      </c>
    </row>
    <row r="315" spans="1:5" x14ac:dyDescent="0.25">
      <c r="A315" t="str">
        <f>"279719"</f>
        <v>279719</v>
      </c>
      <c r="B315" s="1" t="str">
        <f>"81983764011"</f>
        <v>81983764011</v>
      </c>
      <c r="C315" t="str">
        <f>"EVERYDAY COUNTER-BIRTHDAY-SPECIAL FRIEND PKG/6-J9012"</f>
        <v>EVERYDAY COUNTER-BIRTHDAY-SPECIAL FRIEND PKG/6-J9012</v>
      </c>
      <c r="D315" t="str">
        <f>"J9012"</f>
        <v>J9012</v>
      </c>
      <c r="E315" t="str">
        <f>"ED24C082"</f>
        <v>ED24C082</v>
      </c>
    </row>
    <row r="316" spans="1:5" x14ac:dyDescent="0.25">
      <c r="A316" t="str">
        <f>"298777"</f>
        <v>298777</v>
      </c>
      <c r="B316" s="1" t="str">
        <f>"81983545153"</f>
        <v>81983545153</v>
      </c>
      <c r="C316" t="str">
        <f>"EVERYDAY COUNTER-BD HUMOUR-21061"</f>
        <v>EVERYDAY COUNTER-BD HUMOUR-21061</v>
      </c>
      <c r="D316" t="str">
        <f>"21061"</f>
        <v>21061</v>
      </c>
      <c r="E316" t="str">
        <f>"ED24C083"</f>
        <v>ED24C083</v>
      </c>
    </row>
    <row r="317" spans="1:5" x14ac:dyDescent="0.25">
      <c r="A317" t="str">
        <f>"349497"</f>
        <v>349497</v>
      </c>
      <c r="B317" s="1" t="str">
        <f>"81983777592"</f>
        <v>81983777592</v>
      </c>
      <c r="C317" t="str">
        <f>"EVERYDAY COUNTER-BIRTHDAY PKG/6-U0380"</f>
        <v>EVERYDAY COUNTER-BIRTHDAY PKG/6-U0380</v>
      </c>
      <c r="D317" t="str">
        <f>"U0380"</f>
        <v>U0380</v>
      </c>
      <c r="E317" t="str">
        <f>"ED24C084"</f>
        <v>ED24C084</v>
      </c>
    </row>
    <row r="318" spans="1:5" x14ac:dyDescent="0.25">
      <c r="A318" t="str">
        <f>"279477"</f>
        <v>279477</v>
      </c>
      <c r="B318" s="1" t="str">
        <f>"81983738449"</f>
        <v>81983738449</v>
      </c>
      <c r="C318" t="str">
        <f>"EVERYDAY COUNTER-BIRTHDAY GODDAUGHTER PKG/6-J5511"</f>
        <v>EVERYDAY COUNTER-BIRTHDAY GODDAUGHTER PKG/6-J5511</v>
      </c>
      <c r="D318" t="str">
        <f>"J5511"</f>
        <v>J5511</v>
      </c>
      <c r="E318" t="str">
        <f>"ED24C085"</f>
        <v>ED24C085</v>
      </c>
    </row>
    <row r="319" spans="1:5" x14ac:dyDescent="0.25">
      <c r="A319" t="str">
        <f>"279548"</f>
        <v>279548</v>
      </c>
      <c r="B319" s="1" t="str">
        <f>"81983739019"</f>
        <v>81983739019</v>
      </c>
      <c r="C319" t="str">
        <f>"EVERYDAY COUNTER-WEDDING MOTHER OF THE BRIDE PKG/6-J5568"</f>
        <v>EVERYDAY COUNTER-WEDDING MOTHER OF THE BRIDE PKG/6-J5568</v>
      </c>
      <c r="D319" t="str">
        <f>"J5568"</f>
        <v>J5568</v>
      </c>
      <c r="E319" t="str">
        <f>"ED24C086"</f>
        <v>ED24C086</v>
      </c>
    </row>
    <row r="320" spans="1:5" x14ac:dyDescent="0.25">
      <c r="A320" t="str">
        <f>"308123"</f>
        <v>308123</v>
      </c>
      <c r="B320" s="1" t="str">
        <f>"81983678646"</f>
        <v>81983678646</v>
      </c>
      <c r="C320" t="str">
        <f>"EVERYDAY COUNTER-WEDDING-78872"</f>
        <v>EVERYDAY COUNTER-WEDDING-78872</v>
      </c>
      <c r="D320" t="str">
        <f>"78872"</f>
        <v>78872</v>
      </c>
      <c r="E320" t="str">
        <f>"ED24C087"</f>
        <v>ED24C087</v>
      </c>
    </row>
    <row r="321" spans="1:5" x14ac:dyDescent="0.25">
      <c r="A321" t="str">
        <f>"345267"</f>
        <v>345267</v>
      </c>
      <c r="B321" s="1" t="str">
        <f>"81983793868"</f>
        <v>81983793868</v>
      </c>
      <c r="C321" t="str">
        <f>"EVERYDAY COUNTER-WEDDING PKG/6-U2602"</f>
        <v>EVERYDAY COUNTER-WEDDING PKG/6-U2602</v>
      </c>
      <c r="D321" t="str">
        <f>"U2602"</f>
        <v>U2602</v>
      </c>
      <c r="E321" t="str">
        <f>"ED24C088"</f>
        <v>ED24C088</v>
      </c>
    </row>
    <row r="322" spans="1:5" x14ac:dyDescent="0.25">
      <c r="A322" t="str">
        <f>"308191"</f>
        <v>308191</v>
      </c>
      <c r="B322" s="1" t="str">
        <f>"81983772696"</f>
        <v>81983772696</v>
      </c>
      <c r="C322" t="str">
        <f>"EVERYDAY COUNTER-ANNIVERSARY-1ST PKG/6-91967"</f>
        <v>EVERYDAY COUNTER-ANNIVERSARY-1ST PKG/6-91967</v>
      </c>
      <c r="D322" t="str">
        <f>"91967"</f>
        <v>91967</v>
      </c>
      <c r="E322" t="str">
        <f>"ED24C089"</f>
        <v>ED24C089</v>
      </c>
    </row>
    <row r="323" spans="1:5" x14ac:dyDescent="0.25">
      <c r="A323" t="str">
        <f>"349473"</f>
        <v>349473</v>
      </c>
      <c r="B323" s="1" t="str">
        <f>"81983777837"</f>
        <v>81983777837</v>
      </c>
      <c r="C323" t="str">
        <f>"EVERYDAY COUNTER-BIRTHDAY PKG/6-U0404"</f>
        <v>EVERYDAY COUNTER-BIRTHDAY PKG/6-U0404</v>
      </c>
      <c r="D323" t="str">
        <f>"U0404"</f>
        <v>U0404</v>
      </c>
      <c r="E323" t="str">
        <f>"ED24C090"</f>
        <v>ED24C090</v>
      </c>
    </row>
    <row r="324" spans="1:5" x14ac:dyDescent="0.25">
      <c r="A324" t="str">
        <f>"308400"</f>
        <v>308400</v>
      </c>
      <c r="B324" s="1" t="str">
        <f>"81983715068"</f>
        <v>81983715068</v>
      </c>
      <c r="C324" t="str">
        <f>"EVERYDAY COUNTER-BIRTHDAY SPECIAL FRIEND FEM PKG/6-J2732"</f>
        <v>EVERYDAY COUNTER-BIRTHDAY SPECIAL FRIEND FEM PKG/6-J2732</v>
      </c>
      <c r="D324" t="str">
        <f>"J2732"</f>
        <v>J2732</v>
      </c>
      <c r="E324" t="str">
        <f>"ED24C091"</f>
        <v>ED24C091</v>
      </c>
    </row>
    <row r="325" spans="1:5" x14ac:dyDescent="0.25">
      <c r="A325" t="str">
        <f>"308185"</f>
        <v>308185</v>
      </c>
      <c r="B325" s="1" t="str">
        <f>"81983773266"</f>
        <v>81983773266</v>
      </c>
      <c r="C325" t="str">
        <f>"EVERYDAY COUNTER-SPECIAL FRIEND FEMININE-86897"</f>
        <v>EVERYDAY COUNTER-SPECIAL FRIEND FEMININE-86897</v>
      </c>
      <c r="D325" t="str">
        <f>"86897"</f>
        <v>86897</v>
      </c>
      <c r="E325" t="str">
        <f>"ED24C092"</f>
        <v>ED24C092</v>
      </c>
    </row>
    <row r="326" spans="1:5" x14ac:dyDescent="0.25">
      <c r="A326" t="str">
        <f>"308344"</f>
        <v>308344</v>
      </c>
      <c r="B326" s="1" t="str">
        <f>"81983717802"</f>
        <v>81983717802</v>
      </c>
      <c r="C326" t="str">
        <f>"EVERYDAY COUNTER-BIRTHDAY HUMOR PKG/6-J0375"</f>
        <v>EVERYDAY COUNTER-BIRTHDAY HUMOR PKG/6-J0375</v>
      </c>
      <c r="D326" t="str">
        <f>"J0375"</f>
        <v>J0375</v>
      </c>
      <c r="E326" t="str">
        <f>"ED24C093"</f>
        <v>ED24C093</v>
      </c>
    </row>
    <row r="327" spans="1:5" x14ac:dyDescent="0.25">
      <c r="A327" t="str">
        <f>"279682"</f>
        <v>279682</v>
      </c>
      <c r="B327" s="1" t="str">
        <f>"81983763748"</f>
        <v>81983763748</v>
      </c>
      <c r="C327" t="str">
        <f>"EVERYDAY COUNTER-BIRTHDAY BELATED PKG/6-J8985"</f>
        <v>EVERYDAY COUNTER-BIRTHDAY BELATED PKG/6-J8985</v>
      </c>
      <c r="D327" t="str">
        <f>"J8985"</f>
        <v>J8985</v>
      </c>
      <c r="E327" t="str">
        <f>"ED24C094"</f>
        <v>ED24C094</v>
      </c>
    </row>
    <row r="328" spans="1:5" x14ac:dyDescent="0.25">
      <c r="A328" t="str">
        <f>"308126"</f>
        <v>308126</v>
      </c>
      <c r="B328" s="1" t="str">
        <f>"81983772382"</f>
        <v>81983772382</v>
      </c>
      <c r="C328" t="str">
        <f>"EVERYDAY COUNTER-WEDDING-PARENTS FOR ANYONE-J9950"</f>
        <v>EVERYDAY COUNTER-WEDDING-PARENTS FOR ANYONE-J9950</v>
      </c>
      <c r="D328" t="str">
        <f>"J9950"</f>
        <v>J9950</v>
      </c>
      <c r="E328" t="str">
        <f>"ED24C095"</f>
        <v>ED24C095</v>
      </c>
    </row>
    <row r="329" spans="1:5" x14ac:dyDescent="0.25">
      <c r="A329" t="str">
        <f>"345266"</f>
        <v>345266</v>
      </c>
      <c r="B329" s="1" t="str">
        <f>"81983793851"</f>
        <v>81983793851</v>
      </c>
      <c r="C329" t="str">
        <f>"EVERYDAY COUNTER-WEDDING PKG/6-U2601"</f>
        <v>EVERYDAY COUNTER-WEDDING PKG/6-U2601</v>
      </c>
      <c r="D329" t="str">
        <f>"U2601"</f>
        <v>U2601</v>
      </c>
      <c r="E329" t="str">
        <f>"ED24C096"</f>
        <v>ED24C096</v>
      </c>
    </row>
    <row r="330" spans="1:5" x14ac:dyDescent="0.25">
      <c r="A330" t="str">
        <f>"279651"</f>
        <v>279651</v>
      </c>
      <c r="B330" s="1" t="str">
        <f>"81983757884"</f>
        <v>81983757884</v>
      </c>
      <c r="C330" t="str">
        <f>"EVERYDAY COUNTER-WEDDING PKG/6-J8236"</f>
        <v>EVERYDAY COUNTER-WEDDING PKG/6-J8236</v>
      </c>
      <c r="D330" t="str">
        <f>"J8236"</f>
        <v>J8236</v>
      </c>
      <c r="E330" t="str">
        <f>"ED24C097"</f>
        <v>ED24C097</v>
      </c>
    </row>
    <row r="331" spans="1:5" x14ac:dyDescent="0.25">
      <c r="A331" t="str">
        <f>"308120"</f>
        <v>308120</v>
      </c>
      <c r="B331" s="1" t="str">
        <f>"81983772368"</f>
        <v>81983772368</v>
      </c>
      <c r="C331" t="str">
        <f>"EVERYDAY COUNTER-WEDDING-J9948"</f>
        <v>EVERYDAY COUNTER-WEDDING-J9948</v>
      </c>
      <c r="D331" t="str">
        <f>"J9948"</f>
        <v>J9948</v>
      </c>
      <c r="E331" t="str">
        <f>"ED24C098"</f>
        <v>ED24C098</v>
      </c>
    </row>
    <row r="332" spans="1:5" x14ac:dyDescent="0.25">
      <c r="A332" t="str">
        <f>"349475"</f>
        <v>349475</v>
      </c>
      <c r="B332" s="1" t="str">
        <f>"81983777844"</f>
        <v>81983777844</v>
      </c>
      <c r="C332" t="str">
        <f>"EVERYDAY COUNTER-BIRTHDAY PKG/6-U0405"</f>
        <v>EVERYDAY COUNTER-BIRTHDAY PKG/6-U0405</v>
      </c>
      <c r="D332" t="str">
        <f>"U0405"</f>
        <v>U0405</v>
      </c>
      <c r="E332" t="str">
        <f>"ED24C099"</f>
        <v>ED24C099</v>
      </c>
    </row>
    <row r="333" spans="1:5" x14ac:dyDescent="0.25">
      <c r="A333" t="str">
        <f>"308403"</f>
        <v>308403</v>
      </c>
      <c r="B333" s="1" t="str">
        <f>"81983715099"</f>
        <v>81983715099</v>
      </c>
      <c r="C333" t="str">
        <f>"EVERYDAY COUNTER-BIRTHDAY SPECIAL FRIEND FEM PKG/6-J2735"</f>
        <v>EVERYDAY COUNTER-BIRTHDAY SPECIAL FRIEND FEM PKG/6-J2735</v>
      </c>
      <c r="D333" t="str">
        <f>"J2735"</f>
        <v>J2735</v>
      </c>
      <c r="E333" t="str">
        <f>"ED24C100"</f>
        <v>ED24C100</v>
      </c>
    </row>
    <row r="334" spans="1:5" x14ac:dyDescent="0.25">
      <c r="A334" t="str">
        <f>"308188"</f>
        <v>308188</v>
      </c>
      <c r="B334" s="1" t="str">
        <f>"81983536014"</f>
        <v>81983536014</v>
      </c>
      <c r="C334" t="str">
        <f>"EVERYDAY COUNTER-SPECIAL FRIEND FEMINE-86905"</f>
        <v>EVERYDAY COUNTER-SPECIAL FRIEND FEMINE-86905</v>
      </c>
      <c r="D334" t="str">
        <f>"86905"</f>
        <v>86905</v>
      </c>
      <c r="E334" t="str">
        <f>"ED24C101"</f>
        <v>ED24C101</v>
      </c>
    </row>
    <row r="335" spans="1:5" x14ac:dyDescent="0.25">
      <c r="A335" t="str">
        <f>"349494"</f>
        <v>349494</v>
      </c>
      <c r="B335" s="1" t="str">
        <f>"81983777608"</f>
        <v>81983777608</v>
      </c>
      <c r="C335" t="str">
        <f>"EVERYDAY COUNTER-BIRTHDAY PKG/6-U0381"</f>
        <v>EVERYDAY COUNTER-BIRTHDAY PKG/6-U0381</v>
      </c>
      <c r="D335" t="str">
        <f>"U0381"</f>
        <v>U0381</v>
      </c>
      <c r="E335" t="str">
        <f>"ED24C102"</f>
        <v>ED24C102</v>
      </c>
    </row>
    <row r="336" spans="1:5" x14ac:dyDescent="0.25">
      <c r="A336" t="str">
        <f>"279681"</f>
        <v>279681</v>
      </c>
      <c r="B336" s="1" t="str">
        <f>"81983763731"</f>
        <v>81983763731</v>
      </c>
      <c r="C336" t="str">
        <f>"EVERYDAY COUNTER-BIRTHDAY BELATED PKG/6-J8984"</f>
        <v>EVERYDAY COUNTER-BIRTHDAY BELATED PKG/6-J8984</v>
      </c>
      <c r="D336" t="str">
        <f>"J8984"</f>
        <v>J8984</v>
      </c>
      <c r="E336" t="str">
        <f>"ED24C103"</f>
        <v>ED24C103</v>
      </c>
    </row>
    <row r="337" spans="1:5" x14ac:dyDescent="0.25">
      <c r="A337" t="str">
        <f>"401605"</f>
        <v>401605</v>
      </c>
      <c r="B337" s="1" t="str">
        <f>"81983772399"</f>
        <v>81983772399</v>
      </c>
      <c r="C337" t="str">
        <f>"EVERYDAY COUNTER-WEDDING-THANK YOU-J9951"</f>
        <v>EVERYDAY COUNTER-WEDDING-THANK YOU-J9951</v>
      </c>
      <c r="D337" t="str">
        <f>"J9951"</f>
        <v>J9951</v>
      </c>
      <c r="E337" t="str">
        <f>"ED24C104"</f>
        <v>ED24C104</v>
      </c>
    </row>
    <row r="338" spans="1:5" x14ac:dyDescent="0.25">
      <c r="A338" t="str">
        <f>"308239"</f>
        <v>308239</v>
      </c>
      <c r="B338" s="1" t="str">
        <f>"081983774799"</f>
        <v>081983774799</v>
      </c>
      <c r="C338" t="str">
        <f>"EVERYDAY COUNTER-WEDDING PKG/6-92028"</f>
        <v>EVERYDAY COUNTER-WEDDING PKG/6-92028</v>
      </c>
      <c r="D338" t="str">
        <f>"92028"</f>
        <v>92028</v>
      </c>
      <c r="E338" t="str">
        <f>"ED24C105"</f>
        <v>ED24C105</v>
      </c>
    </row>
    <row r="339" spans="1:5" x14ac:dyDescent="0.25">
      <c r="A339" t="str">
        <f>"308241"</f>
        <v>308241</v>
      </c>
      <c r="B339" s="1" t="str">
        <f>"81983677625"</f>
        <v>81983677625</v>
      </c>
      <c r="C339" t="str">
        <f>"EVERYDAY COUNTER-WEDDING PKG/6-92035"</f>
        <v>EVERYDAY COUNTER-WEDDING PKG/6-92035</v>
      </c>
      <c r="D339" t="str">
        <f>"92035"</f>
        <v>92035</v>
      </c>
      <c r="E339" t="str">
        <f>"ED24C106"</f>
        <v>ED24C106</v>
      </c>
    </row>
    <row r="340" spans="1:5" x14ac:dyDescent="0.25">
      <c r="A340" t="str">
        <f>"308263"</f>
        <v>308263</v>
      </c>
      <c r="B340" s="1" t="str">
        <f>"81983679100"</f>
        <v>81983679100</v>
      </c>
      <c r="C340" t="str">
        <f>"EVERYDAY COUNTER-WEDDING PKG/6-92327"</f>
        <v>EVERYDAY COUNTER-WEDDING PKG/6-92327</v>
      </c>
      <c r="D340" t="str">
        <f>"92327"</f>
        <v>92327</v>
      </c>
      <c r="E340" t="str">
        <f>"ED24C107"</f>
        <v>ED24C107</v>
      </c>
    </row>
    <row r="341" spans="1:5" x14ac:dyDescent="0.25">
      <c r="A341" t="str">
        <f>"279467"</f>
        <v>279467</v>
      </c>
      <c r="B341" s="1" t="str">
        <f>"81983738371"</f>
        <v>81983738371</v>
      </c>
      <c r="C341" t="str">
        <f>"EVERYDAY COUNTER-BIRTHDAY GEN FEM PKG/6-J5504"</f>
        <v>EVERYDAY COUNTER-BIRTHDAY GEN FEM PKG/6-J5504</v>
      </c>
      <c r="D341" t="str">
        <f>"J5504"</f>
        <v>J5504</v>
      </c>
      <c r="E341" t="str">
        <f>"ED24C108"</f>
        <v>ED24C108</v>
      </c>
    </row>
    <row r="342" spans="1:5" x14ac:dyDescent="0.25">
      <c r="A342" t="str">
        <f>"279723"</f>
        <v>279723</v>
      </c>
      <c r="B342" s="1" t="str">
        <f>"81983764042"</f>
        <v>81983764042</v>
      </c>
      <c r="C342" t="str">
        <f>"EVERYDAY COUNTER-BIRTHDAY-SPECIAL FRIEND PKG/6-J9015"</f>
        <v>EVERYDAY COUNTER-BIRTHDAY-SPECIAL FRIEND PKG/6-J9015</v>
      </c>
      <c r="D342" t="str">
        <f>"J9015"</f>
        <v>J9015</v>
      </c>
      <c r="E342" t="str">
        <f>"ED24C109"</f>
        <v>ED24C109</v>
      </c>
    </row>
    <row r="343" spans="1:5" x14ac:dyDescent="0.25">
      <c r="A343" t="str">
        <f>"349523"</f>
        <v>349523</v>
      </c>
      <c r="B343" s="1" t="str">
        <f>"81983777943"</f>
        <v>81983777943</v>
      </c>
      <c r="C343" t="str">
        <f>"EVERYDAY COUNTER-BIRTHDAY PKG/6-U0415"</f>
        <v>EVERYDAY COUNTER-BIRTHDAY PKG/6-U0415</v>
      </c>
      <c r="D343" t="str">
        <f>"U0415"</f>
        <v>U0415</v>
      </c>
      <c r="E343" t="str">
        <f>"ED24C110"</f>
        <v>ED24C110</v>
      </c>
    </row>
    <row r="344" spans="1:5" x14ac:dyDescent="0.25">
      <c r="A344" t="str">
        <f>"349501"</f>
        <v>349501</v>
      </c>
      <c r="B344" s="1" t="str">
        <f>"81983777615"</f>
        <v>81983777615</v>
      </c>
      <c r="C344" t="str">
        <f>"EVERYDAY COUNTER-BIRTHDAY PKG/6-U0382"</f>
        <v>EVERYDAY COUNTER-BIRTHDAY PKG/6-U0382</v>
      </c>
      <c r="D344" t="str">
        <f>"U0382"</f>
        <v>U0382</v>
      </c>
      <c r="E344" t="str">
        <f>"ED24C111"</f>
        <v>ED24C111</v>
      </c>
    </row>
    <row r="345" spans="1:5" x14ac:dyDescent="0.25">
      <c r="A345" t="str">
        <f>"308184"</f>
        <v>308184</v>
      </c>
      <c r="B345" s="1" t="str">
        <f>"81983732119"</f>
        <v>81983732119</v>
      </c>
      <c r="C345" t="str">
        <f>"EVERYDAY COUNTER-GIFT CARD HOLDER-86896"</f>
        <v>EVERYDAY COUNTER-GIFT CARD HOLDER-86896</v>
      </c>
      <c r="D345" t="str">
        <f>"86896"</f>
        <v>86896</v>
      </c>
      <c r="E345" t="str">
        <f>"ED24C112"</f>
        <v>ED24C112</v>
      </c>
    </row>
    <row r="346" spans="1:5" x14ac:dyDescent="0.25">
      <c r="A346" t="str">
        <f>"345268"</f>
        <v>345268</v>
      </c>
      <c r="B346" s="1" t="str">
        <f>"81983793875"</f>
        <v>81983793875</v>
      </c>
      <c r="C346" t="str">
        <f>"EVERYDAY COUNTER-WEDDING/HUSBAND PKG/6"</f>
        <v>EVERYDAY COUNTER-WEDDING/HUSBAND PKG/6</v>
      </c>
      <c r="D346" t="str">
        <f>"U2603"</f>
        <v>U2603</v>
      </c>
      <c r="E346" t="str">
        <f>"ED24C113"</f>
        <v>ED24C113</v>
      </c>
    </row>
    <row r="347" spans="1:5" x14ac:dyDescent="0.25">
      <c r="A347" t="str">
        <f>"345269"</f>
        <v>345269</v>
      </c>
      <c r="B347" s="1" t="str">
        <f>"81983793882"</f>
        <v>81983793882</v>
      </c>
      <c r="C347" t="str">
        <f>"EVERYDAY COUNTER-WEDDING/WIFE PKG/6"</f>
        <v>EVERYDAY COUNTER-WEDDING/WIFE PKG/6</v>
      </c>
      <c r="D347" t="str">
        <f>"U2604"</f>
        <v>U2604</v>
      </c>
      <c r="E347" t="str">
        <f>"ED24C114"</f>
        <v>ED24C114</v>
      </c>
    </row>
    <row r="348" spans="1:5" x14ac:dyDescent="0.25">
      <c r="A348" t="str">
        <f>"308234"</f>
        <v>308234</v>
      </c>
      <c r="B348" s="1" t="str">
        <f>"81983774836"</f>
        <v>81983774836</v>
      </c>
      <c r="C348" t="str">
        <f>"EVERYDAY COUNTER-WEDDING PKG/6-92015"</f>
        <v>EVERYDAY COUNTER-WEDDING PKG/6-92015</v>
      </c>
      <c r="D348" t="str">
        <f>"92015"</f>
        <v>92015</v>
      </c>
      <c r="E348" t="str">
        <f>"ED24C115"</f>
        <v>ED24C115</v>
      </c>
    </row>
    <row r="349" spans="1:5" x14ac:dyDescent="0.25">
      <c r="A349" t="str">
        <f>"279536"</f>
        <v>279536</v>
      </c>
      <c r="B349" s="1" t="str">
        <f>"81983738920"</f>
        <v>81983738920</v>
      </c>
      <c r="C349" t="str">
        <f>"EVERYDAY COUNTER-WEDDING PKG/6-J5559"</f>
        <v>EVERYDAY COUNTER-WEDDING PKG/6-J5559</v>
      </c>
      <c r="D349" t="str">
        <f>"J5559"</f>
        <v>J5559</v>
      </c>
      <c r="E349" t="str">
        <f>"ED24C116"</f>
        <v>ED24C116</v>
      </c>
    </row>
    <row r="350" spans="1:5" x14ac:dyDescent="0.25">
      <c r="A350" t="str">
        <f>"308149"</f>
        <v>308149</v>
      </c>
      <c r="B350" s="1" t="str">
        <f>"81983772931"</f>
        <v>81983772931</v>
      </c>
      <c r="C350" t="str">
        <f>"EVERYDAY COUNTER-WIFE ANNIVERSARY-83666"</f>
        <v>EVERYDAY COUNTER-WIFE ANNIVERSARY-83666</v>
      </c>
      <c r="D350" t="str">
        <f>"83666"</f>
        <v>83666</v>
      </c>
      <c r="E350" t="str">
        <f>"ED24D001"</f>
        <v>ED24D001</v>
      </c>
    </row>
    <row r="351" spans="1:5" x14ac:dyDescent="0.25">
      <c r="A351" t="str">
        <f>"279569"</f>
        <v>279569</v>
      </c>
      <c r="B351" s="1" t="str">
        <f>"81983757235"</f>
        <v>81983757235</v>
      </c>
      <c r="C351" t="str">
        <f>"EVERYDAY COUNTER-ANNIVERSARY - HUSBAND PKG/6-J8171"</f>
        <v>EVERYDAY COUNTER-ANNIVERSARY - HUSBAND PKG/6-J8171</v>
      </c>
      <c r="D351" t="str">
        <f>"J8171"</f>
        <v>J8171</v>
      </c>
      <c r="E351" t="str">
        <f>"ED24D002"</f>
        <v>ED24D002</v>
      </c>
    </row>
    <row r="352" spans="1:5" x14ac:dyDescent="0.25">
      <c r="A352" t="str">
        <f>"308275"</f>
        <v>308275</v>
      </c>
      <c r="B352" s="1" t="str">
        <f>"81983682513"</f>
        <v>81983682513</v>
      </c>
      <c r="C352" t="str">
        <f>"EVERYDAY COUNTER-ANNIVERSARY-HUSBAND PKG/6-J0025"</f>
        <v>EVERYDAY COUNTER-ANNIVERSARY-HUSBAND PKG/6-J0025</v>
      </c>
      <c r="D352" t="str">
        <f>"J0025"</f>
        <v>J0025</v>
      </c>
      <c r="E352" t="str">
        <f>"ED24D003"</f>
        <v>ED24D003</v>
      </c>
    </row>
    <row r="353" spans="1:5" x14ac:dyDescent="0.25">
      <c r="A353" t="str">
        <f>"279655"</f>
        <v>279655</v>
      </c>
      <c r="B353" s="1" t="str">
        <f>"81983772450"</f>
        <v>81983772450</v>
      </c>
      <c r="C353" t="str">
        <f>"EVERYDAY COUNTER-HL - ANNIVERSARY PKG/6-J9967"</f>
        <v>EVERYDAY COUNTER-HL - ANNIVERSARY PKG/6-J9967</v>
      </c>
      <c r="D353" t="str">
        <f>"J9967"</f>
        <v>J9967</v>
      </c>
      <c r="E353" t="str">
        <f>"ED24D004"</f>
        <v>ED24D004</v>
      </c>
    </row>
    <row r="354" spans="1:5" x14ac:dyDescent="0.25">
      <c r="A354" t="str">
        <f>"279662"</f>
        <v>279662</v>
      </c>
      <c r="B354" s="1" t="str">
        <f>"81983772467"</f>
        <v>81983772467</v>
      </c>
      <c r="C354" t="str">
        <f>"EVERYDAY COUNTER-HL - ANNIVERSARY PKG/6-J9968"</f>
        <v>EVERYDAY COUNTER-HL - ANNIVERSARY PKG/6-J9968</v>
      </c>
      <c r="D354" t="str">
        <f>"J9968"</f>
        <v>J9968</v>
      </c>
      <c r="E354" t="str">
        <f>"ED24D005"</f>
        <v>ED24D005</v>
      </c>
    </row>
    <row r="355" spans="1:5" x14ac:dyDescent="0.25">
      <c r="A355" t="str">
        <f>"298702"</f>
        <v>298702</v>
      </c>
      <c r="B355" s="1" t="str">
        <f>"81983652417"</f>
        <v>81983652417</v>
      </c>
      <c r="C355" t="str">
        <f>"EVERYDAY COUNTER-THANK YOU CLERGY PKG/6-10280"</f>
        <v>EVERYDAY COUNTER-THANK YOU CLERGY PKG/6-10280</v>
      </c>
      <c r="D355" t="str">
        <f>"10280"</f>
        <v>10280</v>
      </c>
      <c r="E355" t="str">
        <f>"ED24D006"</f>
        <v>ED24D006</v>
      </c>
    </row>
    <row r="356" spans="1:5" x14ac:dyDescent="0.25">
      <c r="A356" t="str">
        <f>"298760"</f>
        <v>298760</v>
      </c>
      <c r="B356" s="1" t="str">
        <f>"81983771750"</f>
        <v>81983771750</v>
      </c>
      <c r="C356" t="str">
        <f>"EVERYDAY COUNTER-BABY CONGRATS-GIRL PKG/6-J9887"</f>
        <v>EVERYDAY COUNTER-BABY CONGRATS-GIRL PKG/6-J9887</v>
      </c>
      <c r="D356" t="str">
        <f>"J9887"</f>
        <v>J9887</v>
      </c>
      <c r="E356" t="str">
        <f>"ED24D007"</f>
        <v>ED24D007</v>
      </c>
    </row>
    <row r="357" spans="1:5" x14ac:dyDescent="0.25">
      <c r="A357" t="str">
        <f>"308108"</f>
        <v>308108</v>
      </c>
      <c r="B357" s="1" t="str">
        <f>"81983771781"</f>
        <v>81983771781</v>
      </c>
      <c r="C357" t="str">
        <f>"EVERYDAY COUNTER-CONGRATS-J9890"</f>
        <v>EVERYDAY COUNTER-CONGRATS-J9890</v>
      </c>
      <c r="D357" t="str">
        <f>"J9890"</f>
        <v>J9890</v>
      </c>
      <c r="E357" t="str">
        <f>"ED24D008"</f>
        <v>ED24D008</v>
      </c>
    </row>
    <row r="358" spans="1:5" x14ac:dyDescent="0.25">
      <c r="A358" t="str">
        <f>"307928"</f>
        <v>307928</v>
      </c>
      <c r="B358" s="1" t="str">
        <f>"81983612930"</f>
        <v>81983612930</v>
      </c>
      <c r="C358" t="str">
        <f>"EVERYDAY COUNTER-ANN-WIFE pkg/4-44452"</f>
        <v>EVERYDAY COUNTER-ANN-WIFE pkg/4-44452</v>
      </c>
      <c r="D358" t="str">
        <f>"44452"</f>
        <v>44452</v>
      </c>
      <c r="E358" t="str">
        <f>"ED24D009"</f>
        <v>ED24D009</v>
      </c>
    </row>
    <row r="359" spans="1:5" x14ac:dyDescent="0.25">
      <c r="A359" t="str">
        <f>"308199"</f>
        <v>308199</v>
      </c>
      <c r="B359" s="1" t="str">
        <f>"81983677106"</f>
        <v>81983677106</v>
      </c>
      <c r="C359" t="str">
        <f>"EVERYDAY COUNTER-ANNIVERSARY HUSBAND PKG/6-91974"</f>
        <v>EVERYDAY COUNTER-ANNIVERSARY HUSBAND PKG/6-91974</v>
      </c>
      <c r="D359" t="str">
        <f>"91974"</f>
        <v>91974</v>
      </c>
      <c r="E359" t="str">
        <f>"ED24D010"</f>
        <v>ED24D010</v>
      </c>
    </row>
    <row r="360" spans="1:5" x14ac:dyDescent="0.25">
      <c r="A360" t="str">
        <f>"308106"</f>
        <v>308106</v>
      </c>
      <c r="B360" s="1" t="str">
        <f>"81983771705"</f>
        <v>81983771705</v>
      </c>
      <c r="C360" t="str">
        <f>"EVERYDAY COUNTER-HUSBAND ANNIVERSARY-J9882"</f>
        <v>EVERYDAY COUNTER-HUSBAND ANNIVERSARY-J9882</v>
      </c>
      <c r="D360" t="str">
        <f>"J9882"</f>
        <v>J9882</v>
      </c>
      <c r="E360" t="str">
        <f>"ED24D011"</f>
        <v>ED24D011</v>
      </c>
    </row>
    <row r="361" spans="1:5" x14ac:dyDescent="0.25">
      <c r="A361" t="str">
        <f>"279663"</f>
        <v>279663</v>
      </c>
      <c r="B361" s="1" t="str">
        <f>"81983772474"</f>
        <v>81983772474</v>
      </c>
      <c r="C361" t="str">
        <f>"EVERYDAY COUNTER-HL - ANNIVERSARY PKG/6-J9969"</f>
        <v>EVERYDAY COUNTER-HL - ANNIVERSARY PKG/6-J9969</v>
      </c>
      <c r="D361" t="str">
        <f>"J9969"</f>
        <v>J9969</v>
      </c>
      <c r="E361" t="str">
        <f>"ED24D012"</f>
        <v>ED24D012</v>
      </c>
    </row>
    <row r="362" spans="1:5" x14ac:dyDescent="0.25">
      <c r="A362" t="str">
        <f>"279664"</f>
        <v>279664</v>
      </c>
      <c r="B362" s="1" t="str">
        <f>"81983772481"</f>
        <v>81983772481</v>
      </c>
      <c r="C362" t="str">
        <f>"EVERYDAY COUNTER-HL - ANNIVERSARY PKG/6-J9970"</f>
        <v>EVERYDAY COUNTER-HL - ANNIVERSARY PKG/6-J9970</v>
      </c>
      <c r="D362" t="str">
        <f>"J9970"</f>
        <v>J9970</v>
      </c>
      <c r="E362" t="str">
        <f>"ED24D013"</f>
        <v>ED24D013</v>
      </c>
    </row>
    <row r="363" spans="1:5" x14ac:dyDescent="0.25">
      <c r="A363" t="str">
        <f>"308475"</f>
        <v>308475</v>
      </c>
      <c r="B363" s="1" t="str">
        <f>"81983722141"</f>
        <v>81983722141</v>
      </c>
      <c r="C363" t="str">
        <f>"EVERYDAY COUNTER-THANK YOU -PASTOR/YOU'RE AN INSPIRATION PKG/6-J3466"</f>
        <v>EVERYDAY COUNTER-THANK YOU -PASTOR/YOU'RE AN INSPIRATION PKG/6-J3466</v>
      </c>
      <c r="D363" t="str">
        <f>"J3466"</f>
        <v>J3466</v>
      </c>
      <c r="E363" t="str">
        <f>"ED24D014"</f>
        <v>ED24D014</v>
      </c>
    </row>
    <row r="364" spans="1:5" x14ac:dyDescent="0.25">
      <c r="A364" t="str">
        <f>"308007"</f>
        <v>308007</v>
      </c>
      <c r="B364" s="1" t="str">
        <f>"81983619038"</f>
        <v>81983619038</v>
      </c>
      <c r="C364" t="str">
        <f>"EVERYDAY COUNTER-CONGRATS-BABY GIRL-55908"</f>
        <v>EVERYDAY COUNTER-CONGRATS-BABY GIRL-55908</v>
      </c>
      <c r="D364" t="str">
        <f>"55908"</f>
        <v>55908</v>
      </c>
      <c r="E364" t="str">
        <f>"ED24D015"</f>
        <v>ED24D015</v>
      </c>
    </row>
    <row r="365" spans="1:5" x14ac:dyDescent="0.25">
      <c r="A365" t="str">
        <f>"345238"</f>
        <v>345238</v>
      </c>
      <c r="B365" s="1" t="str">
        <f>"81983793615"</f>
        <v>81983793615</v>
      </c>
      <c r="C365" t="str">
        <f>"EVERYDAY COUNTER-CONGRATULATIONS PKG/6-U2577"</f>
        <v>EVERYDAY COUNTER-CONGRATULATIONS PKG/6-U2577</v>
      </c>
      <c r="D365" t="str">
        <f>"U2577"</f>
        <v>U2577</v>
      </c>
      <c r="E365" t="str">
        <f>"ED24D016"</f>
        <v>ED24D016</v>
      </c>
    </row>
    <row r="366" spans="1:5" x14ac:dyDescent="0.25">
      <c r="A366" t="str">
        <f>"298769"</f>
        <v>298769</v>
      </c>
      <c r="B366" s="1" t="str">
        <f>"81983771729"</f>
        <v>81983771729</v>
      </c>
      <c r="C366" t="str">
        <f>"EVERYDAY COUNTER-ANN-WIFE PKG/6-J9884"</f>
        <v>EVERYDAY COUNTER-ANN-WIFE PKG/6-J9884</v>
      </c>
      <c r="D366" t="str">
        <f>"J9884"</f>
        <v>J9884</v>
      </c>
      <c r="E366" t="str">
        <f>"ED24D017"</f>
        <v>ED24D017</v>
      </c>
    </row>
    <row r="367" spans="1:5" x14ac:dyDescent="0.25">
      <c r="A367" t="str">
        <f>"308259"</f>
        <v>308259</v>
      </c>
      <c r="B367" s="1" t="str">
        <f>"81983772849"</f>
        <v>81983772849</v>
      </c>
      <c r="C367" t="str">
        <f>"EVERYDAY COUNTER-ANNIVERSARY - HUSBAND PKG/6-92222"</f>
        <v>EVERYDAY COUNTER-ANNIVERSARY - HUSBAND PKG/6-92222</v>
      </c>
      <c r="D367" t="str">
        <f>"92222"</f>
        <v>92222</v>
      </c>
      <c r="E367" t="str">
        <f>"ED24D018"</f>
        <v>ED24D018</v>
      </c>
    </row>
    <row r="368" spans="1:5" x14ac:dyDescent="0.25">
      <c r="A368" t="str">
        <f>"308135"</f>
        <v>308135</v>
      </c>
      <c r="B368" s="1" t="str">
        <f>"81983461972"</f>
        <v>81983461972</v>
      </c>
      <c r="C368" t="str">
        <f>"EVERYDAY COUNTER-ANNIVERSARY-HUSBAND/FOR MY HUSBAND PKG/6-79236"</f>
        <v>EVERYDAY COUNTER-ANNIVERSARY-HUSBAND/FOR MY HUSBAND PKG/6-79236</v>
      </c>
      <c r="D368" t="str">
        <f>"79236"</f>
        <v>79236</v>
      </c>
      <c r="E368" t="str">
        <f>"ED24D019"</f>
        <v>ED24D019</v>
      </c>
    </row>
    <row r="369" spans="1:5" x14ac:dyDescent="0.25">
      <c r="A369" t="str">
        <f>"279659"</f>
        <v>279659</v>
      </c>
      <c r="B369" s="1" t="str">
        <f>"81983772504"</f>
        <v>81983772504</v>
      </c>
      <c r="C369" t="str">
        <f>"EVERYDAY COUNTER-HL - ANNIVERSARY HUSBAND PKG/6-J9972"</f>
        <v>EVERYDAY COUNTER-HL - ANNIVERSARY HUSBAND PKG/6-J9972</v>
      </c>
      <c r="D369" t="str">
        <f>"J9972"</f>
        <v>J9972</v>
      </c>
      <c r="E369" t="str">
        <f>"ED24D020"</f>
        <v>ED24D020</v>
      </c>
    </row>
    <row r="370" spans="1:5" x14ac:dyDescent="0.25">
      <c r="A370" t="str">
        <f>"279660"</f>
        <v>279660</v>
      </c>
      <c r="B370" s="1" t="str">
        <f>"81983772498"</f>
        <v>81983772498</v>
      </c>
      <c r="C370" t="str">
        <f>"EVERYDAY COUNTER-HL - ANNIVERSARY HUSBAND PKG/6-J9971"</f>
        <v>EVERYDAY COUNTER-HL - ANNIVERSARY HUSBAND PKG/6-J9971</v>
      </c>
      <c r="D370" t="str">
        <f>"J9971"</f>
        <v>J9971</v>
      </c>
      <c r="E370" t="str">
        <f>"ED24D021"</f>
        <v>ED24D021</v>
      </c>
    </row>
    <row r="371" spans="1:5" x14ac:dyDescent="0.25">
      <c r="A371" t="str">
        <f>"279635"</f>
        <v>279635</v>
      </c>
      <c r="B371" s="1" t="str">
        <f>"81983757761"</f>
        <v>81983757761</v>
      </c>
      <c r="C371" t="str">
        <f>"EVERYDAY COUNTER-THANK YOU CLERGY PKG/6-J8224"</f>
        <v>EVERYDAY COUNTER-THANK YOU CLERGY PKG/6-J8224</v>
      </c>
      <c r="D371" t="str">
        <f>"J8224"</f>
        <v>J8224</v>
      </c>
      <c r="E371" t="str">
        <f>"ED24D022"</f>
        <v>ED24D022</v>
      </c>
    </row>
    <row r="372" spans="1:5" x14ac:dyDescent="0.25">
      <c r="A372" t="str">
        <f>"279576"</f>
        <v>279576</v>
      </c>
      <c r="B372" s="1" t="str">
        <f>"81983757297"</f>
        <v>81983757297</v>
      </c>
      <c r="C372" t="str">
        <f>"EVERYDAY COUNTER-BABY CONGRATS GIRL PKG/6-J8177"</f>
        <v>EVERYDAY COUNTER-BABY CONGRATS GIRL PKG/6-J8177</v>
      </c>
      <c r="D372" t="str">
        <f>"J8177"</f>
        <v>J8177</v>
      </c>
      <c r="E372" t="str">
        <f>"ED24D023"</f>
        <v>ED24D023</v>
      </c>
    </row>
    <row r="373" spans="1:5" x14ac:dyDescent="0.25">
      <c r="A373" t="str">
        <f>"298768"</f>
        <v>298768</v>
      </c>
      <c r="B373" s="1" t="str">
        <f>"81983593963"</f>
        <v>81983593963</v>
      </c>
      <c r="C373" t="str">
        <f>"EVERYDAY COUNTER-CONGRATS-FOR ANYONE-11800"</f>
        <v>EVERYDAY COUNTER-CONGRATS-FOR ANYONE-11800</v>
      </c>
      <c r="D373" t="str">
        <f>"11800"</f>
        <v>11800</v>
      </c>
      <c r="E373" t="str">
        <f>"ED24D024"</f>
        <v>ED24D024</v>
      </c>
    </row>
    <row r="374" spans="1:5" x14ac:dyDescent="0.25">
      <c r="A374" t="str">
        <f>"308137"</f>
        <v>308137</v>
      </c>
      <c r="B374" s="1" t="str">
        <f>"81983678653"</f>
        <v>81983678653</v>
      </c>
      <c r="C374" t="str">
        <f>"EVERYDAY COUNTER-ANNIVERSARY-WIFE/PARTNER &amp; FRIEND PKG/6-79256"</f>
        <v>EVERYDAY COUNTER-ANNIVERSARY-WIFE/PARTNER &amp; FRIEND PKG/6-79256</v>
      </c>
      <c r="D374" t="str">
        <f>"79256"</f>
        <v>79256</v>
      </c>
      <c r="E374" t="str">
        <f>"ED24D025"</f>
        <v>ED24D025</v>
      </c>
    </row>
    <row r="375" spans="1:5" x14ac:dyDescent="0.25">
      <c r="A375" t="str">
        <f>"298744"</f>
        <v>298744</v>
      </c>
      <c r="B375" s="1" t="str">
        <f>"81983771712"</f>
        <v>81983771712</v>
      </c>
      <c r="C375" t="str">
        <f>"EVERYDAY COUNTER-ANNIVERSARY-HUSBAND PKG/6-J9883"</f>
        <v>EVERYDAY COUNTER-ANNIVERSARY-HUSBAND PKG/6-J9883</v>
      </c>
      <c r="D375" t="str">
        <f>"J9883"</f>
        <v>J9883</v>
      </c>
      <c r="E375" t="str">
        <f>"ED24D026"</f>
        <v>ED24D026</v>
      </c>
    </row>
    <row r="376" spans="1:5" x14ac:dyDescent="0.25">
      <c r="A376" t="str">
        <f>"298682"</f>
        <v>298682</v>
      </c>
      <c r="B376" s="1" t="str">
        <f>"81983772887"</f>
        <v>81983772887</v>
      </c>
      <c r="C376" t="str">
        <f>"EVERYDAY COUNTER-ANN HUSBAND PKG/6-10252"</f>
        <v>EVERYDAY COUNTER-ANN HUSBAND PKG/6-10252</v>
      </c>
      <c r="D376" t="str">
        <f>"10252"</f>
        <v>10252</v>
      </c>
      <c r="E376" t="str">
        <f>"ED24D027"</f>
        <v>ED24D027</v>
      </c>
    </row>
    <row r="377" spans="1:5" x14ac:dyDescent="0.25">
      <c r="A377" t="str">
        <f>"279658"</f>
        <v>279658</v>
      </c>
      <c r="B377" s="1" t="str">
        <f>"81983772528"</f>
        <v>81983772528</v>
      </c>
      <c r="C377" t="str">
        <f>"EVERYDAY COUNTER-HL - ANNIVERSARY WIFE PKG/6-J9974"</f>
        <v>EVERYDAY COUNTER-HL - ANNIVERSARY WIFE PKG/6-J9974</v>
      </c>
      <c r="D377" t="str">
        <f>"J9974"</f>
        <v>J9974</v>
      </c>
      <c r="E377" t="str">
        <f>"ED24D028"</f>
        <v>ED24D028</v>
      </c>
    </row>
    <row r="378" spans="1:5" x14ac:dyDescent="0.25">
      <c r="A378" t="str">
        <f>"279661"</f>
        <v>279661</v>
      </c>
      <c r="B378" s="1" t="str">
        <f>"81983772511"</f>
        <v>81983772511</v>
      </c>
      <c r="C378" t="str">
        <f>"EVERYDAY COUNTER-HL-ANNIVERSARY WIFE PKG/6-J9973"</f>
        <v>EVERYDAY COUNTER-HL-ANNIVERSARY WIFE PKG/6-J9973</v>
      </c>
      <c r="D378" t="str">
        <f>"J9973"</f>
        <v>J9973</v>
      </c>
      <c r="E378" t="str">
        <f>"ED24D029"</f>
        <v>ED24D029</v>
      </c>
    </row>
    <row r="379" spans="1:5" x14ac:dyDescent="0.25">
      <c r="A379" t="str">
        <f>"298674"</f>
        <v>298674</v>
      </c>
      <c r="B379" s="1" t="str">
        <f>"81983651700"</f>
        <v>81983651700</v>
      </c>
      <c r="C379" t="str">
        <f>"EVERYDAY COUNTER-TY CLERGY PKG/6-10239"</f>
        <v>EVERYDAY COUNTER-TY CLERGY PKG/6-10239</v>
      </c>
      <c r="D379" t="str">
        <f>"10239"</f>
        <v>10239</v>
      </c>
      <c r="E379" t="str">
        <f>"ED24D030"</f>
        <v>ED24D030</v>
      </c>
    </row>
    <row r="380" spans="1:5" x14ac:dyDescent="0.25">
      <c r="A380" t="str">
        <f>"308083"</f>
        <v>308083</v>
      </c>
      <c r="B380" s="1" t="str">
        <f>"81983567612"</f>
        <v>81983567612</v>
      </c>
      <c r="C380" t="str">
        <f>"EVERYDAY COUNTER-BABY CONGRATS GIRL PKG/6-75238"</f>
        <v>EVERYDAY COUNTER-BABY CONGRATS GIRL PKG/6-75238</v>
      </c>
      <c r="D380" t="str">
        <f>"75238"</f>
        <v>75238</v>
      </c>
      <c r="E380" t="str">
        <f>"ED24D031"</f>
        <v>ED24D031</v>
      </c>
    </row>
    <row r="381" spans="1:5" x14ac:dyDescent="0.25">
      <c r="A381" t="str">
        <f>"308210"</f>
        <v>308210</v>
      </c>
      <c r="B381" s="1" t="str">
        <f>"81983677328"</f>
        <v>81983677328</v>
      </c>
      <c r="C381" t="str">
        <f>"EVERYDAY COUNTER-CONGRATS FOR ANYONE PKG/6-91989"</f>
        <v>EVERYDAY COUNTER-CONGRATS FOR ANYONE PKG/6-91989</v>
      </c>
      <c r="D381" t="str">
        <f>"91989"</f>
        <v>91989</v>
      </c>
      <c r="E381" t="str">
        <f>"ED24D032"</f>
        <v>ED24D032</v>
      </c>
    </row>
    <row r="382" spans="1:5" x14ac:dyDescent="0.25">
      <c r="A382" t="str">
        <f>"345236"</f>
        <v>345236</v>
      </c>
      <c r="B382" s="1" t="str">
        <f>"81983793608"</f>
        <v>81983793608</v>
      </c>
      <c r="C382" t="str">
        <f>"EVERYDAY COUNTER-ANNIVERSARY PKG/6-U2576"</f>
        <v>EVERYDAY COUNTER-ANNIVERSARY PKG/6-U2576</v>
      </c>
      <c r="D382" t="str">
        <f>"U2576"</f>
        <v>U2576</v>
      </c>
      <c r="E382" t="str">
        <f>"ED24D033"</f>
        <v>ED24D033</v>
      </c>
    </row>
    <row r="383" spans="1:5" x14ac:dyDescent="0.25">
      <c r="A383" t="str">
        <f>"298673"</f>
        <v>298673</v>
      </c>
      <c r="B383" s="1" t="str">
        <f>"81983772863"</f>
        <v>81983772863</v>
      </c>
      <c r="C383" t="str">
        <f>"EVERYDAY COUNTER-ANN HUSBAND PKG/6-10237"</f>
        <v>EVERYDAY COUNTER-ANN HUSBAND PKG/6-10237</v>
      </c>
      <c r="D383" t="str">
        <f>"10237"</f>
        <v>10237</v>
      </c>
      <c r="E383" t="str">
        <f>"ED24D034"</f>
        <v>ED24D034</v>
      </c>
    </row>
    <row r="384" spans="1:5" x14ac:dyDescent="0.25">
      <c r="A384" t="str">
        <f>"307927"</f>
        <v>307927</v>
      </c>
      <c r="B384" s="1" t="str">
        <f>"81983678486"</f>
        <v>81983678486</v>
      </c>
      <c r="C384" t="str">
        <f>"EVERYDAY COUNTER-ANN-HUSBAND PKG/6-44449"</f>
        <v>EVERYDAY COUNTER-ANN-HUSBAND PKG/6-44449</v>
      </c>
      <c r="D384" t="str">
        <f>"44449"</f>
        <v>44449</v>
      </c>
      <c r="E384" t="str">
        <f>"ED24D035"</f>
        <v>ED24D035</v>
      </c>
    </row>
    <row r="385" spans="1:5" x14ac:dyDescent="0.25">
      <c r="A385" t="str">
        <f>"308472"</f>
        <v>308472</v>
      </c>
      <c r="B385" s="1" t="str">
        <f>"81983722035"</f>
        <v>81983722035</v>
      </c>
      <c r="C385" t="str">
        <f>"EVERYDAY COUNTER-THANK YOU/THE THOUGHTFUL ACT OF GIVING PKG/6-J3455"</f>
        <v>EVERYDAY COUNTER-THANK YOU/THE THOUGHTFUL ACT OF GIVING PKG/6-J3455</v>
      </c>
      <c r="D385" t="str">
        <f>"J3455"</f>
        <v>J3455</v>
      </c>
      <c r="E385" t="str">
        <f>"ED24D036"</f>
        <v>ED24D036</v>
      </c>
    </row>
    <row r="386" spans="1:5" x14ac:dyDescent="0.25">
      <c r="A386" t="str">
        <f>"279645"</f>
        <v>279645</v>
      </c>
      <c r="B386" s="1" t="str">
        <f>"81983757846"</f>
        <v>81983757846</v>
      </c>
      <c r="C386" t="str">
        <f>"EVERYDAY COUNTER-THANK YOU - PASTOR'S WIFE APPR PKG/6-J8232"</f>
        <v>EVERYDAY COUNTER-THANK YOU - PASTOR'S WIFE APPR PKG/6-J8232</v>
      </c>
      <c r="D386" t="str">
        <f>"J8232"</f>
        <v>J8232</v>
      </c>
      <c r="E386" t="str">
        <f>"ED24D037"</f>
        <v>ED24D037</v>
      </c>
    </row>
    <row r="387" spans="1:5" x14ac:dyDescent="0.25">
      <c r="A387" t="str">
        <f>"308143"</f>
        <v>308143</v>
      </c>
      <c r="B387" s="1" t="str">
        <f>"81983774669"</f>
        <v>81983774669</v>
      </c>
      <c r="C387" t="str">
        <f>"EVERYDAY COUNTER-THANK YOU CLERGY PASTOR-82373"</f>
        <v>EVERYDAY COUNTER-THANK YOU CLERGY PASTOR-82373</v>
      </c>
      <c r="D387" t="str">
        <f>"82373"</f>
        <v>82373</v>
      </c>
      <c r="E387" t="str">
        <f>"ED24D038"</f>
        <v>ED24D038</v>
      </c>
    </row>
    <row r="388" spans="1:5" x14ac:dyDescent="0.25">
      <c r="A388" t="str">
        <f>"308438"</f>
        <v>308438</v>
      </c>
      <c r="B388" s="1" t="str">
        <f>"81983721656"</f>
        <v>81983721656</v>
      </c>
      <c r="C388" t="str">
        <f>"EVERYDAY COUNTER-BABY CONGRATS/TINY TOES  PKG/6-J3417"</f>
        <v>EVERYDAY COUNTER-BABY CONGRATS/TINY TOES  PKG/6-J3417</v>
      </c>
      <c r="D388" t="str">
        <f>"J3417"</f>
        <v>J3417</v>
      </c>
      <c r="E388" t="str">
        <f>"ED24D039"</f>
        <v>ED24D039</v>
      </c>
    </row>
    <row r="389" spans="1:5" x14ac:dyDescent="0.25">
      <c r="A389" t="str">
        <f>"298718"</f>
        <v>298718</v>
      </c>
      <c r="B389" s="1" t="str">
        <f>"81983771798"</f>
        <v>81983771798</v>
      </c>
      <c r="C389" t="str">
        <f>"EVERYDAY COUNTER-CONGRATS-FOR ANYONE-J9891"</f>
        <v>EVERYDAY COUNTER-CONGRATS-FOR ANYONE-J9891</v>
      </c>
      <c r="D389" t="str">
        <f>"J9891"</f>
        <v>J9891</v>
      </c>
      <c r="E389" t="str">
        <f>"ED24D040"</f>
        <v>ED24D040</v>
      </c>
    </row>
    <row r="390" spans="1:5" x14ac:dyDescent="0.25">
      <c r="A390" t="str">
        <f>"308437"</f>
        <v>308437</v>
      </c>
      <c r="B390" s="1" t="str">
        <f>"81983721618"</f>
        <v>81983721618</v>
      </c>
      <c r="C390" t="str">
        <f>"EVERYDAY COUNTER-WIFE ANNIVERSARY/PINK WITH FLOWERS PKG/6-J3413"</f>
        <v>EVERYDAY COUNTER-WIFE ANNIVERSARY/PINK WITH FLOWERS PKG/6-J3413</v>
      </c>
      <c r="D390" t="str">
        <f>"J3413"</f>
        <v>J3413</v>
      </c>
      <c r="E390" t="str">
        <f>"ED24D041"</f>
        <v>ED24D041</v>
      </c>
    </row>
    <row r="391" spans="1:5" x14ac:dyDescent="0.25">
      <c r="A391" t="str">
        <f>"308260"</f>
        <v>308260</v>
      </c>
      <c r="B391" s="1" t="str">
        <f>"81983679087"</f>
        <v>81983679087</v>
      </c>
      <c r="C391" t="str">
        <f>"EVERYDAY COUNTER-ANNIVERSARY - HUSBAND PKG/6-92261"</f>
        <v>EVERYDAY COUNTER-ANNIVERSARY - HUSBAND PKG/6-92261</v>
      </c>
      <c r="D391" t="str">
        <f>"92261"</f>
        <v>92261</v>
      </c>
      <c r="E391" t="str">
        <f>"ED24D042"</f>
        <v>ED24D042</v>
      </c>
    </row>
    <row r="392" spans="1:5" x14ac:dyDescent="0.25">
      <c r="A392" t="str">
        <f>"298675"</f>
        <v>298675</v>
      </c>
      <c r="B392" s="1" t="str">
        <f>"81983772870"</f>
        <v>81983772870</v>
      </c>
      <c r="C392" t="str">
        <f>"EVERYDAY COUNTER-ANN HUSBAND PKG/6-10241"</f>
        <v>EVERYDAY COUNTER-ANN HUSBAND PKG/6-10241</v>
      </c>
      <c r="D392" t="str">
        <f>"10241"</f>
        <v>10241</v>
      </c>
      <c r="E392" t="str">
        <f>"ED24D043"</f>
        <v>ED24D043</v>
      </c>
    </row>
    <row r="393" spans="1:5" x14ac:dyDescent="0.25">
      <c r="A393" t="str">
        <f>"308227"</f>
        <v>308227</v>
      </c>
      <c r="B393" s="1" t="str">
        <f>"81983677472"</f>
        <v>81983677472</v>
      </c>
      <c r="C393" t="str">
        <f>"EVERYDAY COUNTER-THANK YOU PKG/6-92004"</f>
        <v>EVERYDAY COUNTER-THANK YOU PKG/6-92004</v>
      </c>
      <c r="D393" t="str">
        <f>"92004"</f>
        <v>92004</v>
      </c>
      <c r="E393" t="str">
        <f>"ED24D044"</f>
        <v>ED24D044</v>
      </c>
    </row>
    <row r="394" spans="1:5" x14ac:dyDescent="0.25">
      <c r="A394" t="str">
        <f>"308266"</f>
        <v>308266</v>
      </c>
      <c r="B394" s="1" t="str">
        <f>"81983612442"</f>
        <v>81983612442</v>
      </c>
      <c r="C394" t="str">
        <f>"EVERYDAY COUNTER-THANK YOU-FOR ANYONE-44123"</f>
        <v>EVERYDAY COUNTER-THANK YOU-FOR ANYONE-44123</v>
      </c>
      <c r="D394" t="str">
        <f>"44123"</f>
        <v>44123</v>
      </c>
      <c r="E394" t="str">
        <f>"ED24D045"</f>
        <v>ED24D045</v>
      </c>
    </row>
    <row r="395" spans="1:5" x14ac:dyDescent="0.25">
      <c r="A395" t="str">
        <f>"308478"</f>
        <v>308478</v>
      </c>
      <c r="B395" s="1" t="str">
        <f>"81983722165"</f>
        <v>81983722165</v>
      </c>
      <c r="C395" t="str">
        <f>"EVERYDAY COUNTER-MINISTRY APPRECIATION/OPEN HANDS PKG/6-J3468"</f>
        <v>EVERYDAY COUNTER-MINISTRY APPRECIATION/OPEN HANDS PKG/6-J3468</v>
      </c>
      <c r="D395" t="str">
        <f>"J3468"</f>
        <v>J3468</v>
      </c>
      <c r="E395" t="str">
        <f>"ED24D046"</f>
        <v>ED24D046</v>
      </c>
    </row>
    <row r="396" spans="1:5" x14ac:dyDescent="0.25">
      <c r="A396" t="str">
        <f>"308111"</f>
        <v>308111</v>
      </c>
      <c r="B396" s="1" t="str">
        <f>"81983644290"</f>
        <v>81983644290</v>
      </c>
      <c r="C396" t="str">
        <f>"EVERYDAY COUNTER-BABY CONGRATS PKG/6-76486"</f>
        <v>EVERYDAY COUNTER-BABY CONGRATS PKG/6-76486</v>
      </c>
      <c r="D396" t="str">
        <f>"76486"</f>
        <v>76486</v>
      </c>
      <c r="E396" t="str">
        <f>"ED24D047"</f>
        <v>ED24D047</v>
      </c>
    </row>
    <row r="397" spans="1:5" x14ac:dyDescent="0.25">
      <c r="A397" t="str">
        <f>"308211"</f>
        <v>308211</v>
      </c>
      <c r="B397" s="1" t="str">
        <f>"81983773327"</f>
        <v>81983773327</v>
      </c>
      <c r="C397" t="str">
        <f>"EVERYDAY COUNTER-CONGRATS FOR ANYONE PKG/6-91990"</f>
        <v>EVERYDAY COUNTER-CONGRATS FOR ANYONE PKG/6-91990</v>
      </c>
      <c r="D397" t="str">
        <f>"91990"</f>
        <v>91990</v>
      </c>
      <c r="E397" t="str">
        <f>"ED24D048"</f>
        <v>ED24D048</v>
      </c>
    </row>
    <row r="398" spans="1:5" x14ac:dyDescent="0.25">
      <c r="A398" t="str">
        <f>"298724"</f>
        <v>298724</v>
      </c>
      <c r="B398" s="1" t="str">
        <f>"81983772948"</f>
        <v>81983772948</v>
      </c>
      <c r="C398" t="str">
        <f>"EVERYDAY COUNTER-ANNIVERSARY-WIFE PKG/6-11518"</f>
        <v>EVERYDAY COUNTER-ANNIVERSARY-WIFE PKG/6-11518</v>
      </c>
      <c r="D398" t="str">
        <f>"11518"</f>
        <v>11518</v>
      </c>
      <c r="E398" t="str">
        <f>"ED24D049"</f>
        <v>ED24D049</v>
      </c>
    </row>
    <row r="399" spans="1:5" x14ac:dyDescent="0.25">
      <c r="A399" t="str">
        <f>"345235"</f>
        <v>345235</v>
      </c>
      <c r="B399" s="1" t="str">
        <f>"81983793592"</f>
        <v>81983793592</v>
      </c>
      <c r="C399" t="str">
        <f>"EVERYDAY COUNTER-ANNIVERSARY PKG/6-U2575"</f>
        <v>EVERYDAY COUNTER-ANNIVERSARY PKG/6-U2575</v>
      </c>
      <c r="D399" t="str">
        <f>"U2575"</f>
        <v>U2575</v>
      </c>
      <c r="E399" t="str">
        <f>"ED24D050"</f>
        <v>ED24D050</v>
      </c>
    </row>
    <row r="400" spans="1:5" x14ac:dyDescent="0.25">
      <c r="A400" t="str">
        <f>"308136"</f>
        <v>308136</v>
      </c>
      <c r="B400" s="1" t="str">
        <f>"81983771699"</f>
        <v>81983771699</v>
      </c>
      <c r="C400" t="str">
        <f>"EVERYDAY COUNTER-ANNIVERSARY-HUSBAND/MY LOVE PKG/6-J9881"</f>
        <v>EVERYDAY COUNTER-ANNIVERSARY-HUSBAND/MY LOVE PKG/6-J9881</v>
      </c>
      <c r="D400" t="str">
        <f>"J9881"</f>
        <v>J9881</v>
      </c>
      <c r="E400" t="str">
        <f>"ED24D051"</f>
        <v>ED24D051</v>
      </c>
    </row>
    <row r="401" spans="1:5" x14ac:dyDescent="0.25">
      <c r="A401" t="str">
        <f>"308151"</f>
        <v>308151</v>
      </c>
      <c r="B401" s="1" t="str">
        <f>"81983573293"</f>
        <v>81983573293</v>
      </c>
      <c r="C401" t="str">
        <f>"EVERYDAY COUNTER-THANK YOU - FOR ANYONE-83828"</f>
        <v>EVERYDAY COUNTER-THANK YOU - FOR ANYONE-83828</v>
      </c>
      <c r="D401" t="str">
        <f>"83828"</f>
        <v>83828</v>
      </c>
      <c r="E401" t="str">
        <f>"ED24D052"</f>
        <v>ED24D052</v>
      </c>
    </row>
    <row r="402" spans="1:5" x14ac:dyDescent="0.25">
      <c r="A402" t="str">
        <f>"307948"</f>
        <v>307948</v>
      </c>
      <c r="B402" s="1" t="str">
        <f>"81983584633"</f>
        <v>81983584633</v>
      </c>
      <c r="C402" t="str">
        <f>"EVERYDAY COUNTER-THANK YOU-47934"</f>
        <v>EVERYDAY COUNTER-THANK YOU-47934</v>
      </c>
      <c r="D402" t="str">
        <f>"47934"</f>
        <v>47934</v>
      </c>
      <c r="E402" t="str">
        <f>"ED24D053"</f>
        <v>ED24D053</v>
      </c>
    </row>
    <row r="403" spans="1:5" x14ac:dyDescent="0.25">
      <c r="A403" t="str">
        <f>"298787"</f>
        <v>298787</v>
      </c>
      <c r="B403" s="1" t="str">
        <f>"81983774713"</f>
        <v>81983774713</v>
      </c>
      <c r="C403" t="str">
        <f>"EVERYDAY COUNTER-WHAT A PRIVILEGE-27408"</f>
        <v>EVERYDAY COUNTER-WHAT A PRIVILEGE-27408</v>
      </c>
      <c r="D403" t="str">
        <f>"27408"</f>
        <v>27408</v>
      </c>
      <c r="E403" t="str">
        <f>"ED24D054"</f>
        <v>ED24D054</v>
      </c>
    </row>
    <row r="404" spans="1:5" x14ac:dyDescent="0.25">
      <c r="A404" t="str">
        <f>"308114"</f>
        <v>308114</v>
      </c>
      <c r="B404" s="1" t="str">
        <f>"81983644320"</f>
        <v>81983644320</v>
      </c>
      <c r="C404" t="str">
        <f>"EVERYDAY COUNTER-BABY BOY CONGRATS PKG/6-76489"</f>
        <v>EVERYDAY COUNTER-BABY BOY CONGRATS PKG/6-76489</v>
      </c>
      <c r="D404" t="str">
        <f>"76489"</f>
        <v>76489</v>
      </c>
      <c r="E404" t="str">
        <f>"ED24D055"</f>
        <v>ED24D055</v>
      </c>
    </row>
    <row r="405" spans="1:5" x14ac:dyDescent="0.25">
      <c r="A405" t="str">
        <f>"298683"</f>
        <v>298683</v>
      </c>
      <c r="B405" s="1" t="str">
        <f>"81983652042"</f>
        <v>81983652042</v>
      </c>
      <c r="C405" t="str">
        <f>"EVERYDAY COUNTER-CONGRATULATIONS PKG/6-10253"</f>
        <v>EVERYDAY COUNTER-CONGRATULATIONS PKG/6-10253</v>
      </c>
      <c r="D405" t="str">
        <f>"10253"</f>
        <v>10253</v>
      </c>
      <c r="E405" t="str">
        <f>"ED24D056"</f>
        <v>ED24D056</v>
      </c>
    </row>
    <row r="406" spans="1:5" x14ac:dyDescent="0.25">
      <c r="A406" t="str">
        <f>"298728"</f>
        <v>298728</v>
      </c>
      <c r="B406" s="1" t="str">
        <f>"81983771736"</f>
        <v>81983771736</v>
      </c>
      <c r="C406" t="str">
        <f>"EVERYDAY COUNTER-ANNIVERSARY-WIFE PKG/6-J9885"</f>
        <v>EVERYDAY COUNTER-ANNIVERSARY-WIFE PKG/6-J9885</v>
      </c>
      <c r="D406" t="str">
        <f>"J9885"</f>
        <v>J9885</v>
      </c>
      <c r="E406" t="str">
        <f>"ED24D057"</f>
        <v>ED24D057</v>
      </c>
    </row>
    <row r="407" spans="1:5" x14ac:dyDescent="0.25">
      <c r="A407" t="str">
        <f>"279572"</f>
        <v>279572</v>
      </c>
      <c r="B407" s="1" t="str">
        <f>"81983757259"</f>
        <v>81983757259</v>
      </c>
      <c r="C407" t="str">
        <f>"EVERYDAY COUNTER-ANNIVERSARY-WIFE PKG/6-J8173"</f>
        <v>EVERYDAY COUNTER-ANNIVERSARY-WIFE PKG/6-J8173</v>
      </c>
      <c r="D407" t="str">
        <f>"J8173"</f>
        <v>J8173</v>
      </c>
      <c r="E407" t="str">
        <f>"ED24D058"</f>
        <v>ED24D058</v>
      </c>
    </row>
    <row r="408" spans="1:5" x14ac:dyDescent="0.25">
      <c r="A408" t="str">
        <f>"345232"</f>
        <v>345232</v>
      </c>
      <c r="B408" s="1" t="str">
        <f>"81983793561"</f>
        <v>81983793561</v>
      </c>
      <c r="C408" t="str">
        <f>"EVERYDAY COUNTER-ANNIVERSARY ONE I LOVE SPOUSE PKG/6"</f>
        <v>EVERYDAY COUNTER-ANNIVERSARY ONE I LOVE SPOUSE PKG/6</v>
      </c>
      <c r="D408" t="str">
        <f>"U2572"</f>
        <v>U2572</v>
      </c>
      <c r="E408" t="str">
        <f>"ED24D059"</f>
        <v>ED24D059</v>
      </c>
    </row>
    <row r="409" spans="1:5" x14ac:dyDescent="0.25">
      <c r="A409" t="str">
        <f>"308152"</f>
        <v>308152</v>
      </c>
      <c r="B409" s="1" t="str">
        <f>"81983772313"</f>
        <v>81983772313</v>
      </c>
      <c r="C409" t="str">
        <f>"EVERYDAY COUNTER-THANK YOU - FOR ANYONE-J9943"</f>
        <v>EVERYDAY COUNTER-THANK YOU - FOR ANYONE-J9943</v>
      </c>
      <c r="D409" t="str">
        <f>"J9943"</f>
        <v>J9943</v>
      </c>
      <c r="E409" t="str">
        <f>"ED24D060"</f>
        <v>ED24D060</v>
      </c>
    </row>
    <row r="410" spans="1:5" x14ac:dyDescent="0.25">
      <c r="A410" t="str">
        <f>"308115"</f>
        <v>308115</v>
      </c>
      <c r="B410" s="1" t="str">
        <f>"81983584640"</f>
        <v>81983584640</v>
      </c>
      <c r="C410" t="str">
        <f>"EVERYDAY COUNTER-THANK YOU-78829"</f>
        <v>EVERYDAY COUNTER-THANK YOU-78829</v>
      </c>
      <c r="D410" t="str">
        <f>"78829"</f>
        <v>78829</v>
      </c>
      <c r="E410" t="str">
        <f>"ED24D061"</f>
        <v>ED24D061</v>
      </c>
    </row>
    <row r="411" spans="1:5" x14ac:dyDescent="0.25">
      <c r="A411" t="str">
        <f>"298788"</f>
        <v>298788</v>
      </c>
      <c r="B411" s="1" t="str">
        <f>"81983774706"</f>
        <v>81983774706</v>
      </c>
      <c r="C411" t="str">
        <f>"EVERYDAY COUNTER-YOU SERVE THE LORD-27409"</f>
        <v>EVERYDAY COUNTER-YOU SERVE THE LORD-27409</v>
      </c>
      <c r="D411" t="str">
        <f>"27409"</f>
        <v>27409</v>
      </c>
      <c r="E411" t="str">
        <f>"ED24D062"</f>
        <v>ED24D062</v>
      </c>
    </row>
    <row r="412" spans="1:5" x14ac:dyDescent="0.25">
      <c r="A412" t="str">
        <f>"298711"</f>
        <v>298711</v>
      </c>
      <c r="B412" s="1" t="str">
        <f>"81983652592"</f>
        <v>81983652592</v>
      </c>
      <c r="C412" t="str">
        <f>"EVERYDAY COUNTER-BABY CONGRATS BOY PKG/6-10293"</f>
        <v>EVERYDAY COUNTER-BABY CONGRATS BOY PKG/6-10293</v>
      </c>
      <c r="D412" t="str">
        <f>"10293"</f>
        <v>10293</v>
      </c>
      <c r="E412" t="str">
        <f>"ED24D063"</f>
        <v>ED24D063</v>
      </c>
    </row>
    <row r="413" spans="1:5" x14ac:dyDescent="0.25">
      <c r="A413" t="str">
        <f>"298783"</f>
        <v>298783</v>
      </c>
      <c r="B413" s="1" t="str">
        <f>"81983550379"</f>
        <v>81983550379</v>
      </c>
      <c r="C413" t="str">
        <f>"EVERYDAY COUNTER-CONGRATULATIONS-27075"</f>
        <v>EVERYDAY COUNTER-CONGRATULATIONS-27075</v>
      </c>
      <c r="D413" t="str">
        <f>"27075"</f>
        <v>27075</v>
      </c>
      <c r="E413" t="str">
        <f>"ED24D064"</f>
        <v>ED24D064</v>
      </c>
    </row>
    <row r="414" spans="1:5" x14ac:dyDescent="0.25">
      <c r="A414" t="str">
        <f>"279573"</f>
        <v>279573</v>
      </c>
      <c r="B414" s="1" t="str">
        <f>"81983757266"</f>
        <v>81983757266</v>
      </c>
      <c r="C414" t="str">
        <f>"EVERYDAY COUNTER-ANNIVERSARY-WIFE PKG/6-J8174"</f>
        <v>EVERYDAY COUNTER-ANNIVERSARY-WIFE PKG/6-J8174</v>
      </c>
      <c r="D414" t="str">
        <f>"J8174"</f>
        <v>J8174</v>
      </c>
      <c r="E414" t="str">
        <f>"ED24D065"</f>
        <v>ED24D065</v>
      </c>
    </row>
    <row r="415" spans="1:5" x14ac:dyDescent="0.25">
      <c r="A415" t="str">
        <f>"298770"</f>
        <v>298770</v>
      </c>
      <c r="B415" s="1" t="str">
        <f>"81983594052"</f>
        <v>81983594052</v>
      </c>
      <c r="C415" t="str">
        <f>"EVERYDAY COUNTER-ANN-FOR ANYONE PKG/6-12033"</f>
        <v>EVERYDAY COUNTER-ANN-FOR ANYONE PKG/6-12033</v>
      </c>
      <c r="D415" t="str">
        <f>"12033"</f>
        <v>12033</v>
      </c>
      <c r="E415" t="str">
        <f>"ED24D066"</f>
        <v>ED24D066</v>
      </c>
    </row>
    <row r="416" spans="1:5" x14ac:dyDescent="0.25">
      <c r="A416" t="str">
        <f>"308107"</f>
        <v>308107</v>
      </c>
      <c r="B416" s="1" t="str">
        <f>"81983644245"</f>
        <v>81983644245</v>
      </c>
      <c r="C416" t="str">
        <f>"EVERYDAY COUNTER-ONE I LOVE ANNIVERSARY-76414"</f>
        <v>EVERYDAY COUNTER-ONE I LOVE ANNIVERSARY-76414</v>
      </c>
      <c r="D416" t="str">
        <f>"76414"</f>
        <v>76414</v>
      </c>
      <c r="E416" t="str">
        <f>"ED24D067"</f>
        <v>ED24D067</v>
      </c>
    </row>
    <row r="417" spans="1:5" x14ac:dyDescent="0.25">
      <c r="A417" t="str">
        <f>"308165"</f>
        <v>308165</v>
      </c>
      <c r="B417" s="1" t="str">
        <f>"81983589614"</f>
        <v>81983589614</v>
      </c>
      <c r="C417" t="str">
        <f>"EVERYDAY COUNTER-THANK YOU - FOR ANYONE-84018"</f>
        <v>EVERYDAY COUNTER-THANK YOU - FOR ANYONE-84018</v>
      </c>
      <c r="D417" t="str">
        <f>"84018"</f>
        <v>84018</v>
      </c>
      <c r="E417" t="str">
        <f>"ED24D068"</f>
        <v>ED24D068</v>
      </c>
    </row>
    <row r="418" spans="1:5" x14ac:dyDescent="0.25">
      <c r="A418" t="str">
        <f>"279638"</f>
        <v>279638</v>
      </c>
      <c r="B418" s="1" t="str">
        <f>"81983757785"</f>
        <v>81983757785</v>
      </c>
      <c r="C418" t="str">
        <f>"EVERYDAY COUNTER-THANK YOU PKG/6-J8226"</f>
        <v>EVERYDAY COUNTER-THANK YOU PKG/6-J8226</v>
      </c>
      <c r="D418" t="str">
        <f>"J8226"</f>
        <v>J8226</v>
      </c>
      <c r="E418" t="str">
        <f>"ED24D069"</f>
        <v>ED24D069</v>
      </c>
    </row>
    <row r="419" spans="1:5" x14ac:dyDescent="0.25">
      <c r="A419" t="str">
        <f>"308477"</f>
        <v>308477</v>
      </c>
      <c r="B419" s="1" t="str">
        <f>"81983722158"</f>
        <v>81983722158</v>
      </c>
      <c r="C419" t="str">
        <f>"EVERYDAY COUNTER-MINISTRY APPRECIATION/WITH APPRECIATION FOR YOUR MINISTRY PKG/6-J3467"</f>
        <v>EVERYDAY COUNTER-MINISTRY APPRECIATION/WITH APPRECIATION FOR YOUR MINISTRY PKG/6-J3467</v>
      </c>
      <c r="D419" t="str">
        <f>"J3467"</f>
        <v>J3467</v>
      </c>
      <c r="E419" t="str">
        <f>"ED24D070"</f>
        <v>ED24D070</v>
      </c>
    </row>
    <row r="420" spans="1:5" x14ac:dyDescent="0.25">
      <c r="A420" t="str">
        <f>"298771"</f>
        <v>298771</v>
      </c>
      <c r="B420" s="1" t="str">
        <f>"81983771743"</f>
        <v>81983771743</v>
      </c>
      <c r="C420" t="str">
        <f>"EVERYDAY COUNTER-BABY CONGRATS-BOY PKG/6-J9886"</f>
        <v>EVERYDAY COUNTER-BABY CONGRATS-BOY PKG/6-J9886</v>
      </c>
      <c r="D420" t="str">
        <f>"J9886"</f>
        <v>J9886</v>
      </c>
      <c r="E420" t="str">
        <f>"ED24D071"</f>
        <v>ED24D071</v>
      </c>
    </row>
    <row r="421" spans="1:5" x14ac:dyDescent="0.25">
      <c r="A421" t="str">
        <f>"279577"</f>
        <v>279577</v>
      </c>
      <c r="B421" s="1" t="str">
        <f>"81983757303"</f>
        <v>81983757303</v>
      </c>
      <c r="C421" t="str">
        <f>"EVERYDAY COUNTER-CONGRATS-BABY SHOWER PKG/6-J8178"</f>
        <v>EVERYDAY COUNTER-CONGRATS-BABY SHOWER PKG/6-J8178</v>
      </c>
      <c r="D421" t="str">
        <f>"J8178"</f>
        <v>J8178</v>
      </c>
      <c r="E421" t="str">
        <f>"ED24D072"</f>
        <v>ED24D072</v>
      </c>
    </row>
    <row r="422" spans="1:5" x14ac:dyDescent="0.25">
      <c r="A422" t="str">
        <f>"345234"</f>
        <v>345234</v>
      </c>
      <c r="B422" s="1" t="str">
        <f>"81983793585"</f>
        <v>81983793585</v>
      </c>
      <c r="C422" t="str">
        <f>"EVERYDAY COUNTER-ANNIVERSARY-MOM/DAD PKG/6"</f>
        <v>EVERYDAY COUNTER-ANNIVERSARY-MOM/DAD PKG/6</v>
      </c>
      <c r="D422" t="str">
        <f>"U2574"</f>
        <v>U2574</v>
      </c>
      <c r="E422" t="str">
        <f>"ED24D073"</f>
        <v>ED24D073</v>
      </c>
    </row>
    <row r="423" spans="1:5" x14ac:dyDescent="0.25">
      <c r="A423" t="str">
        <f>"298704"</f>
        <v>298704</v>
      </c>
      <c r="B423" s="1" t="str">
        <f>"81983652455"</f>
        <v>81983652455</v>
      </c>
      <c r="C423" t="str">
        <f>"EVERYDAY COUNTER-ANNIVERSARY PKG/6-10283"</f>
        <v>EVERYDAY COUNTER-ANNIVERSARY PKG/6-10283</v>
      </c>
      <c r="D423" t="str">
        <f>"10283"</f>
        <v>10283</v>
      </c>
      <c r="E423" t="str">
        <f>"ED24D074"</f>
        <v>ED24D074</v>
      </c>
    </row>
    <row r="424" spans="1:5" x14ac:dyDescent="0.25">
      <c r="A424" t="str">
        <f>"345231"</f>
        <v>345231</v>
      </c>
      <c r="B424" s="1" t="str">
        <f>"81983793554"</f>
        <v>81983793554</v>
      </c>
      <c r="C424" t="str">
        <f>"EVERYDAY COUNTER-ANNIVERSARY ONE I LOVE SPOUSE PKG/6"</f>
        <v>EVERYDAY COUNTER-ANNIVERSARY ONE I LOVE SPOUSE PKG/6</v>
      </c>
      <c r="D424" t="str">
        <f>"U2571"</f>
        <v>U2571</v>
      </c>
      <c r="E424" t="str">
        <f>"ED24D075"</f>
        <v>ED24D075</v>
      </c>
    </row>
    <row r="425" spans="1:5" x14ac:dyDescent="0.25">
      <c r="A425" t="str">
        <f>"401611"</f>
        <v>401611</v>
      </c>
      <c r="B425" s="1" t="str">
        <f>"81983678677"</f>
        <v>81983678677</v>
      </c>
      <c r="C425" t="str">
        <f>"EVERYDAY COUNTER-THANK YOU-82376"</f>
        <v>EVERYDAY COUNTER-THANK YOU-82376</v>
      </c>
      <c r="D425" t="str">
        <f>"82376"</f>
        <v>82376</v>
      </c>
      <c r="E425" t="str">
        <f>"ED24D076"</f>
        <v>ED24D076</v>
      </c>
    </row>
    <row r="426" spans="1:5" x14ac:dyDescent="0.25">
      <c r="A426" t="str">
        <f>"308145"</f>
        <v>308145</v>
      </c>
      <c r="B426" s="1" t="str">
        <f>"81983584626"</f>
        <v>81983584626</v>
      </c>
      <c r="C426" t="str">
        <f>"EVERYDAY COUNTER-THANK YOU-82375"</f>
        <v>EVERYDAY COUNTER-THANK YOU-82375</v>
      </c>
      <c r="D426" t="str">
        <f>"82375"</f>
        <v>82375</v>
      </c>
      <c r="E426" t="str">
        <f>"ED24D077"</f>
        <v>ED24D077</v>
      </c>
    </row>
    <row r="427" spans="1:5" x14ac:dyDescent="0.25">
      <c r="A427" t="str">
        <f>"279644"</f>
        <v>279644</v>
      </c>
      <c r="B427" s="1" t="str">
        <f>"81983757839"</f>
        <v>81983757839</v>
      </c>
      <c r="C427" t="str">
        <f>"EVERYDAY COUNTER-THANK YOU MINISTRY APPRECIATIO PKG/6-J8231"</f>
        <v>EVERYDAY COUNTER-THANK YOU MINISTRY APPRECIATIO PKG/6-J8231</v>
      </c>
      <c r="D427" t="str">
        <f>"J8231"</f>
        <v>J8231</v>
      </c>
      <c r="E427" t="str">
        <f>"ED24D078"</f>
        <v>ED24D078</v>
      </c>
    </row>
    <row r="428" spans="1:5" x14ac:dyDescent="0.25">
      <c r="A428" t="str">
        <f>"279574"</f>
        <v>279574</v>
      </c>
      <c r="B428" s="1" t="str">
        <f>"81983773297"</f>
        <v>81983773297</v>
      </c>
      <c r="C428" t="str">
        <f>"EVERYDAY COUNTER-BABY CONGRATS BOY PKG/6-J8175"</f>
        <v>EVERYDAY COUNTER-BABY CONGRATS BOY PKG/6-J8175</v>
      </c>
      <c r="D428" t="str">
        <f>"J8175"</f>
        <v>J8175</v>
      </c>
      <c r="E428" t="str">
        <f>"ED24D079"</f>
        <v>ED24D079</v>
      </c>
    </row>
    <row r="429" spans="1:5" x14ac:dyDescent="0.25">
      <c r="A429" t="str">
        <f>"279575"</f>
        <v>279575</v>
      </c>
      <c r="B429" s="1" t="str">
        <f>"81983757280"</f>
        <v>81983757280</v>
      </c>
      <c r="C429" t="str">
        <f>"EVERYDAY COUNTER-BABY CONGRATS PKG/6-J8176"</f>
        <v>EVERYDAY COUNTER-BABY CONGRATS PKG/6-J8176</v>
      </c>
      <c r="D429" t="str">
        <f>"J8176"</f>
        <v>J8176</v>
      </c>
      <c r="E429" t="str">
        <f>"ED24D080"</f>
        <v>ED24D080</v>
      </c>
    </row>
    <row r="430" spans="1:5" x14ac:dyDescent="0.25">
      <c r="A430" t="str">
        <f>"298707"</f>
        <v>298707</v>
      </c>
      <c r="B430" s="1" t="str">
        <f>"81983771682"</f>
        <v>81983771682</v>
      </c>
      <c r="C430" t="str">
        <f>"EVERYDAY COUNTER-ANNIVERSARY PARENTS PKG/6-J9880"</f>
        <v>EVERYDAY COUNTER-ANNIVERSARY PARENTS PKG/6-J9880</v>
      </c>
      <c r="D430" t="str">
        <f>"J9880"</f>
        <v>J9880</v>
      </c>
      <c r="E430" t="str">
        <f>"ED24D081"</f>
        <v>ED24D081</v>
      </c>
    </row>
    <row r="431" spans="1:5" x14ac:dyDescent="0.25">
      <c r="A431" t="str">
        <f>"308197"</f>
        <v>308197</v>
      </c>
      <c r="B431" s="1" t="str">
        <f>"81983677083"</f>
        <v>81983677083</v>
      </c>
      <c r="C431" t="str">
        <f>"EVERYDAY COUNTER-ANNIVERSARY FOR ANYONE PKG/6-91972"</f>
        <v>EVERYDAY COUNTER-ANNIVERSARY FOR ANYONE PKG/6-91972</v>
      </c>
      <c r="D431" t="str">
        <f>"91972"</f>
        <v>91972</v>
      </c>
      <c r="E431" t="str">
        <f>"ED24D082"</f>
        <v>ED24D082</v>
      </c>
    </row>
    <row r="432" spans="1:5" x14ac:dyDescent="0.25">
      <c r="A432" t="str">
        <f>"308104"</f>
        <v>308104</v>
      </c>
      <c r="B432" s="1" t="str">
        <f>"81983771668"</f>
        <v>81983771668</v>
      </c>
      <c r="C432" t="str">
        <f>"EVERYDAY COUNTER-ON YOUR ANNIVERSARY-J9878"</f>
        <v>EVERYDAY COUNTER-ON YOUR ANNIVERSARY-J9878</v>
      </c>
      <c r="D432" t="str">
        <f>"J9878"</f>
        <v>J9878</v>
      </c>
      <c r="E432" t="str">
        <f>"ED24D083"</f>
        <v>ED24D083</v>
      </c>
    </row>
    <row r="433" spans="1:5" x14ac:dyDescent="0.25">
      <c r="A433" t="str">
        <f>"308150"</f>
        <v>308150</v>
      </c>
      <c r="B433" s="1" t="str">
        <f>"81983573286"</f>
        <v>81983573286</v>
      </c>
      <c r="C433" t="str">
        <f>"EVERYDAY COUNTER-THANK YOU - FOR ANYONE-83827"</f>
        <v>EVERYDAY COUNTER-THANK YOU - FOR ANYONE-83827</v>
      </c>
      <c r="D433" t="str">
        <f>"83827"</f>
        <v>83827</v>
      </c>
      <c r="E433" t="str">
        <f>"ED24D084"</f>
        <v>ED24D084</v>
      </c>
    </row>
    <row r="434" spans="1:5" x14ac:dyDescent="0.25">
      <c r="A434" t="str">
        <f>"345264"</f>
        <v>345264</v>
      </c>
      <c r="B434" s="1" t="str">
        <f>"81983793837"</f>
        <v>81983793837</v>
      </c>
      <c r="C434" t="str">
        <f>"EVERYDAY COUNTER-THANK YOU PKG/6-U2599"</f>
        <v>EVERYDAY COUNTER-THANK YOU PKG/6-U2599</v>
      </c>
      <c r="D434" t="str">
        <f>"U2599"</f>
        <v>U2599</v>
      </c>
      <c r="E434" t="str">
        <f>"ED24D085"</f>
        <v>ED24D085</v>
      </c>
    </row>
    <row r="435" spans="1:5" x14ac:dyDescent="0.25">
      <c r="A435" t="str">
        <f>"308166"</f>
        <v>308166</v>
      </c>
      <c r="B435" s="1" t="str">
        <f>"81983772337"</f>
        <v>81983772337</v>
      </c>
      <c r="C435" t="str">
        <f>"EVERYDAY COUNTER-THANK YOU - MILITARY-J9945"</f>
        <v>EVERYDAY COUNTER-THANK YOU - MILITARY-J9945</v>
      </c>
      <c r="D435" t="str">
        <f>"J9945"</f>
        <v>J9945</v>
      </c>
      <c r="E435" t="str">
        <f>"ED24D086"</f>
        <v>ED24D086</v>
      </c>
    </row>
    <row r="436" spans="1:5" x14ac:dyDescent="0.25">
      <c r="A436" t="str">
        <f>"308245"</f>
        <v>308245</v>
      </c>
      <c r="B436" s="1" t="str">
        <f>"81983678899"</f>
        <v>81983678899</v>
      </c>
      <c r="C436" t="str">
        <f>"EVERYDAY COUNTER-THANK YOU PKG/6-92186"</f>
        <v>EVERYDAY COUNTER-THANK YOU PKG/6-92186</v>
      </c>
      <c r="D436" t="str">
        <f>"92186"</f>
        <v>92186</v>
      </c>
      <c r="E436" t="str">
        <f>"ED24D087"</f>
        <v>ED24D087</v>
      </c>
    </row>
    <row r="437" spans="1:5" x14ac:dyDescent="0.25">
      <c r="A437" t="str">
        <f>"308270"</f>
        <v>308270</v>
      </c>
      <c r="B437" s="1" t="str">
        <f>"81983618406"</f>
        <v>81983618406</v>
      </c>
      <c r="C437" t="str">
        <f>"EVERYDAY COUNTER-CONGRATS-TWINS-55014"</f>
        <v>EVERYDAY COUNTER-CONGRATS-TWINS-55014</v>
      </c>
      <c r="D437" t="str">
        <f>"55014"</f>
        <v>55014</v>
      </c>
      <c r="E437" t="str">
        <f>"ED24D088"</f>
        <v>ED24D088</v>
      </c>
    </row>
    <row r="438" spans="1:5" x14ac:dyDescent="0.25">
      <c r="A438" t="str">
        <f>"308204"</f>
        <v>308204</v>
      </c>
      <c r="B438" s="1" t="str">
        <f>"81983677250"</f>
        <v>81983677250</v>
      </c>
      <c r="C438" t="str">
        <f>"EVERYDAY COUNTER-CONGRATULATIONS-ADOPTION PKG/6-91982"</f>
        <v>EVERYDAY COUNTER-CONGRATULATIONS-ADOPTION PKG/6-91982</v>
      </c>
      <c r="D438" t="str">
        <f>"91982"</f>
        <v>91982</v>
      </c>
      <c r="E438" t="str">
        <f>"ED24D089"</f>
        <v>ED24D089</v>
      </c>
    </row>
    <row r="439" spans="1:5" x14ac:dyDescent="0.25">
      <c r="A439" t="str">
        <f>"345233"</f>
        <v>345233</v>
      </c>
      <c r="B439" s="1" t="str">
        <f>"81983793578"</f>
        <v>81983793578</v>
      </c>
      <c r="C439" t="str">
        <f>"EVERYDAY COUNTER-ANNIVERSARY DAUGHTER/HUSBAND PKG/6"</f>
        <v>EVERYDAY COUNTER-ANNIVERSARY DAUGHTER/HUSBAND PKG/6</v>
      </c>
      <c r="D439" t="str">
        <f>"U2573"</f>
        <v>U2573</v>
      </c>
      <c r="E439" t="str">
        <f>"ED24D090"</f>
        <v>ED24D090</v>
      </c>
    </row>
    <row r="440" spans="1:5" x14ac:dyDescent="0.25">
      <c r="A440" t="str">
        <f>"298705"</f>
        <v>298705</v>
      </c>
      <c r="B440" s="1" t="str">
        <f>"81983772801"</f>
        <v>81983772801</v>
      </c>
      <c r="C440" t="str">
        <f>"EVERYDAY COUNTER-ANNIVERSARY PKG/6-10284"</f>
        <v>EVERYDAY COUNTER-ANNIVERSARY PKG/6-10284</v>
      </c>
      <c r="D440" t="str">
        <f>"10284"</f>
        <v>10284</v>
      </c>
      <c r="E440" t="str">
        <f>"ED24D091"</f>
        <v>ED24D091</v>
      </c>
    </row>
    <row r="441" spans="1:5" x14ac:dyDescent="0.25">
      <c r="A441" t="str">
        <f>"308103"</f>
        <v>308103</v>
      </c>
      <c r="B441" s="1" t="str">
        <f>"81983771675"</f>
        <v>81983771675</v>
      </c>
      <c r="C441" t="str">
        <f>"EVERYDAY COUNTER-ANNIVERSARY PKG/6-J9879"</f>
        <v>EVERYDAY COUNTER-ANNIVERSARY PKG/6-J9879</v>
      </c>
      <c r="D441" t="str">
        <f>"J9879"</f>
        <v>J9879</v>
      </c>
      <c r="E441" t="str">
        <f>"ED24D092"</f>
        <v>ED24D092</v>
      </c>
    </row>
    <row r="442" spans="1:5" x14ac:dyDescent="0.25">
      <c r="A442" t="str">
        <f>"308474"</f>
        <v>308474</v>
      </c>
      <c r="B442" s="1" t="str">
        <f>"81983722059"</f>
        <v>81983722059</v>
      </c>
      <c r="C442" t="str">
        <f>"EVERYDAY COUNTER-THANK YOU/LOOK WHO'S BEEN A BLESSING PKG/6-J3457"</f>
        <v>EVERYDAY COUNTER-THANK YOU/LOOK WHO'S BEEN A BLESSING PKG/6-J3457</v>
      </c>
      <c r="D442" t="str">
        <f>"J3457"</f>
        <v>J3457</v>
      </c>
      <c r="E442" t="str">
        <f>"ED24D093"</f>
        <v>ED24D093</v>
      </c>
    </row>
    <row r="443" spans="1:5" x14ac:dyDescent="0.25">
      <c r="A443" t="str">
        <f>"308046"</f>
        <v>308046</v>
      </c>
      <c r="B443" s="1" t="str">
        <f>"81983774683"</f>
        <v>81983774683</v>
      </c>
      <c r="C443" t="str">
        <f>"EVERYDAY COUNTER-THANK YOU-72720"</f>
        <v>EVERYDAY COUNTER-THANK YOU-72720</v>
      </c>
      <c r="D443" t="str">
        <f>"72720"</f>
        <v>72720</v>
      </c>
      <c r="E443" t="str">
        <f>"ED24D094"</f>
        <v>ED24D094</v>
      </c>
    </row>
    <row r="444" spans="1:5" x14ac:dyDescent="0.25">
      <c r="A444" t="str">
        <f>"308465"</f>
        <v>308465</v>
      </c>
      <c r="B444" s="1" t="str">
        <f>"81983721977"</f>
        <v>81983721977</v>
      </c>
      <c r="C444" t="str">
        <f>"EVERYDAY COUNTER-THANK YOU/CONFETTI SHOWERS PKG/6-J3449"</f>
        <v>EVERYDAY COUNTER-THANK YOU/CONFETTI SHOWERS PKG/6-J3449</v>
      </c>
      <c r="D444" t="str">
        <f>"J3449"</f>
        <v>J3449</v>
      </c>
      <c r="E444" t="str">
        <f>"ED24D095"</f>
        <v>ED24D095</v>
      </c>
    </row>
    <row r="445" spans="1:5" x14ac:dyDescent="0.25">
      <c r="A445" t="str">
        <f>"308159"</f>
        <v>308159</v>
      </c>
      <c r="B445" s="1" t="str">
        <f>"81983772276"</f>
        <v>81983772276</v>
      </c>
      <c r="C445" t="str">
        <f>"EVERYDAY COUNTER-THANK YOU - FOR ANYONE-J9939"</f>
        <v>EVERYDAY COUNTER-THANK YOU - FOR ANYONE-J9939</v>
      </c>
      <c r="D445" t="str">
        <f>"J9939"</f>
        <v>J9939</v>
      </c>
      <c r="E445" t="str">
        <f>"ED24D096"</f>
        <v>ED24D096</v>
      </c>
    </row>
    <row r="446" spans="1:5" x14ac:dyDescent="0.25">
      <c r="A446" t="str">
        <f>"307951"</f>
        <v>307951</v>
      </c>
      <c r="B446" s="1" t="str">
        <f>"81983771774"</f>
        <v>81983771774</v>
      </c>
      <c r="C446" t="str">
        <f>"EVERYDAY COUNTER-CONGRATS-MOTHERTOBE-J9889"</f>
        <v>EVERYDAY COUNTER-CONGRATS-MOTHERTOBE-J9889</v>
      </c>
      <c r="D446" t="str">
        <f>"J9889"</f>
        <v>J9889</v>
      </c>
      <c r="E446" t="str">
        <f>"ED24D097"</f>
        <v>ED24D097</v>
      </c>
    </row>
    <row r="447" spans="1:5" x14ac:dyDescent="0.25">
      <c r="A447" t="str">
        <f>"308084"</f>
        <v>308084</v>
      </c>
      <c r="B447" s="1" t="str">
        <f>"81983771804"</f>
        <v>81983771804</v>
      </c>
      <c r="C447" t="str">
        <f>"EVERYDAY COUNTER-CONGRATS GRADUATE-J9892"</f>
        <v>EVERYDAY COUNTER-CONGRATS GRADUATE-J9892</v>
      </c>
      <c r="D447" t="str">
        <f>"J9892"</f>
        <v>J9892</v>
      </c>
      <c r="E447" t="str">
        <f>"ED24D098"</f>
        <v>ED24D098</v>
      </c>
    </row>
    <row r="448" spans="1:5" x14ac:dyDescent="0.25">
      <c r="A448" t="str">
        <f>"279567"</f>
        <v>279567</v>
      </c>
      <c r="B448" s="1" t="str">
        <f>"81983757211"</f>
        <v>81983757211</v>
      </c>
      <c r="C448" t="str">
        <f>"EVERYDAY COUNTER-ANNIVERARY - SON &amp; WIFE PKG/6-J8169"</f>
        <v>EVERYDAY COUNTER-ANNIVERARY - SON &amp; WIFE PKG/6-J8169</v>
      </c>
      <c r="D448" t="str">
        <f>"J8169"</f>
        <v>J8169</v>
      </c>
      <c r="E448" t="str">
        <f>"ED24D099"</f>
        <v>ED24D099</v>
      </c>
    </row>
    <row r="449" spans="1:5" x14ac:dyDescent="0.25">
      <c r="A449" t="str">
        <f>"298680"</f>
        <v>298680</v>
      </c>
      <c r="B449" s="1" t="str">
        <f>"81983652011"</f>
        <v>81983652011</v>
      </c>
      <c r="C449" t="str">
        <f>"EVERYDAY COUNTER-ANN FOR ANYONE PKG/6-10250"</f>
        <v>EVERYDAY COUNTER-ANN FOR ANYONE PKG/6-10250</v>
      </c>
      <c r="D449" t="str">
        <f>"10250"</f>
        <v>10250</v>
      </c>
      <c r="E449" t="str">
        <f>"ED24D100"</f>
        <v>ED24D100</v>
      </c>
    </row>
    <row r="450" spans="1:5" x14ac:dyDescent="0.25">
      <c r="A450" t="str">
        <f>"308154"</f>
        <v>308154</v>
      </c>
      <c r="B450" s="1" t="str">
        <f>"81983573330"</f>
        <v>81983573330</v>
      </c>
      <c r="C450" t="str">
        <f>"EVERYDAY COUNTER-THANK YOU - FOR ANYONE-83838"</f>
        <v>EVERYDAY COUNTER-THANK YOU - FOR ANYONE-83838</v>
      </c>
      <c r="D450" t="str">
        <f>"83838"</f>
        <v>83838</v>
      </c>
      <c r="E450" t="str">
        <f>"ED24D101"</f>
        <v>ED24D101</v>
      </c>
    </row>
    <row r="451" spans="1:5" x14ac:dyDescent="0.25">
      <c r="A451" t="str">
        <f>"279643"</f>
        <v>279643</v>
      </c>
      <c r="B451" s="1" t="str">
        <f>"81983774690"</f>
        <v>81983774690</v>
      </c>
      <c r="C451" t="str">
        <f>"EVERYDAY COUNTER-THANK YOU PKG/6-J8230"</f>
        <v>EVERYDAY COUNTER-THANK YOU PKG/6-J8230</v>
      </c>
      <c r="D451" t="str">
        <f>"J8230"</f>
        <v>J8230</v>
      </c>
      <c r="E451" t="str">
        <f>"ED24D102"</f>
        <v>ED24D102</v>
      </c>
    </row>
    <row r="452" spans="1:5" x14ac:dyDescent="0.25">
      <c r="A452" t="str">
        <f>"308158"</f>
        <v>308158</v>
      </c>
      <c r="B452" s="1" t="str">
        <f>"81983772283"</f>
        <v>81983772283</v>
      </c>
      <c r="C452" t="str">
        <f>"EVERYDAY COUNTER-THANK YOU - FOR ANYONE-J9940"</f>
        <v>EVERYDAY COUNTER-THANK YOU - FOR ANYONE-J9940</v>
      </c>
      <c r="D452" t="str">
        <f>"J9940"</f>
        <v>J9940</v>
      </c>
      <c r="E452" t="str">
        <f>"ED24D103"</f>
        <v>ED24D103</v>
      </c>
    </row>
    <row r="453" spans="1:5" x14ac:dyDescent="0.25">
      <c r="A453" t="str">
        <f>"279639"</f>
        <v>279639</v>
      </c>
      <c r="B453" s="1" t="str">
        <f>"81983757792"</f>
        <v>81983757792</v>
      </c>
      <c r="C453" t="str">
        <f>"EVERYDAY COUNTER-THANK YOU PKG/6-J8227"</f>
        <v>EVERYDAY COUNTER-THANK YOU PKG/6-J8227</v>
      </c>
      <c r="D453" t="str">
        <f>"J8227"</f>
        <v>J8227</v>
      </c>
      <c r="E453" t="str">
        <f>"ED24D104"</f>
        <v>ED24D104</v>
      </c>
    </row>
    <row r="454" spans="1:5" x14ac:dyDescent="0.25">
      <c r="A454" t="str">
        <f>"308467"</f>
        <v>308467</v>
      </c>
      <c r="B454" s="1" t="str">
        <f>"81983721991"</f>
        <v>81983721991</v>
      </c>
      <c r="C454" t="str">
        <f>"EVERYDAY COUNTER-THANK YOU/KINDNESS OF OTHERS PKG/6-J3451"</f>
        <v>EVERYDAY COUNTER-THANK YOU/KINDNESS OF OTHERS PKG/6-J3451</v>
      </c>
      <c r="D454" t="str">
        <f>"J3451"</f>
        <v>J3451</v>
      </c>
      <c r="E454" t="str">
        <f>"ED24D105"</f>
        <v>ED24D105</v>
      </c>
    </row>
    <row r="455" spans="1:5" x14ac:dyDescent="0.25">
      <c r="A455" t="str">
        <f>"307949"</f>
        <v>307949</v>
      </c>
      <c r="B455" s="1" t="str">
        <f>"81983771767"</f>
        <v>81983771767</v>
      </c>
      <c r="C455" t="str">
        <f>"EVERYDAY COUNTER-CONGRATS-GRANDPARENTS-J9888"</f>
        <v>EVERYDAY COUNTER-CONGRATS-GRANDPARENTS-J9888</v>
      </c>
      <c r="D455" t="str">
        <f>"J9888"</f>
        <v>J9888</v>
      </c>
      <c r="E455" t="str">
        <f>"ED24D106"</f>
        <v>ED24D106</v>
      </c>
    </row>
    <row r="456" spans="1:5" x14ac:dyDescent="0.25">
      <c r="A456" t="str">
        <f>"345253"</f>
        <v>345253</v>
      </c>
      <c r="B456" s="1" t="str">
        <f>"81983793745"</f>
        <v>81983793745</v>
      </c>
      <c r="C456" t="str">
        <f>"EVERYDAY COUNTER-HOUSEWARMING PKG/6"</f>
        <v>EVERYDAY COUNTER-HOUSEWARMING PKG/6</v>
      </c>
      <c r="D456" t="str">
        <f>"U2590"</f>
        <v>U2590</v>
      </c>
      <c r="E456" t="str">
        <f>"ED24D107"</f>
        <v>ED24D107</v>
      </c>
    </row>
    <row r="457" spans="1:5" x14ac:dyDescent="0.25">
      <c r="A457" t="str">
        <f>"298708"</f>
        <v>298708</v>
      </c>
      <c r="B457" s="1" t="str">
        <f>"81983652509"</f>
        <v>81983652509</v>
      </c>
      <c r="C457" t="str">
        <f>"EVERYDAY COUNTER-ANNIVERSARY COUPLE PKG/6-10288"</f>
        <v>EVERYDAY COUNTER-ANNIVERSARY COUPLE PKG/6-10288</v>
      </c>
      <c r="D457" t="str">
        <f>"10288"</f>
        <v>10288</v>
      </c>
      <c r="E457" t="str">
        <f>"ED24D108"</f>
        <v>ED24D108</v>
      </c>
    </row>
    <row r="458" spans="1:5" x14ac:dyDescent="0.25">
      <c r="A458" t="str">
        <f>"308139"</f>
        <v>308139</v>
      </c>
      <c r="B458" s="1" t="str">
        <f>"81983582837"</f>
        <v>81983582837</v>
      </c>
      <c r="C458" t="str">
        <f>"EVERYDAY COUNTER-ANNIVERSARY/BLESSINGS OF LOVE PKG/6-81735"</f>
        <v>EVERYDAY COUNTER-ANNIVERSARY/BLESSINGS OF LOVE PKG/6-81735</v>
      </c>
      <c r="D458" t="str">
        <f>"81735"</f>
        <v>81735</v>
      </c>
      <c r="E458" t="str">
        <f>"ED24D109"</f>
        <v>ED24D109</v>
      </c>
    </row>
    <row r="459" spans="1:5" x14ac:dyDescent="0.25">
      <c r="A459" t="str">
        <f>"308473"</f>
        <v>308473</v>
      </c>
      <c r="B459" s="1" t="str">
        <f>"81983722042"</f>
        <v>81983722042</v>
      </c>
      <c r="C459" t="str">
        <f>"EVERYDAY COUNTER-THANK YOU/FOR THOSE WHO MAKE A DIFFERENCE PKG/6-J3456"</f>
        <v>EVERYDAY COUNTER-THANK YOU/FOR THOSE WHO MAKE A DIFFERENCE PKG/6-J3456</v>
      </c>
      <c r="D459" t="str">
        <f>"J3456"</f>
        <v>J3456</v>
      </c>
      <c r="E459" t="str">
        <f>"ED24D110"</f>
        <v>ED24D110</v>
      </c>
    </row>
    <row r="460" spans="1:5" x14ac:dyDescent="0.25">
      <c r="A460" t="str">
        <f>"308466"</f>
        <v>308466</v>
      </c>
      <c r="B460" s="1" t="str">
        <f>"81983721984"</f>
        <v>81983721984</v>
      </c>
      <c r="C460" t="str">
        <f>"EVERYDAY COUNTER-THANK YOU/WITH APPRECIATION PKG/6-J3450"</f>
        <v>EVERYDAY COUNTER-THANK YOU/WITH APPRECIATION PKG/6-J3450</v>
      </c>
      <c r="D460" t="str">
        <f>"J3450"</f>
        <v>J3450</v>
      </c>
      <c r="E460" t="str">
        <f>"ED24D111"</f>
        <v>ED24D111</v>
      </c>
    </row>
    <row r="461" spans="1:5" x14ac:dyDescent="0.25">
      <c r="A461" t="str">
        <f>"345265"</f>
        <v>345265</v>
      </c>
      <c r="B461" s="1" t="str">
        <f>"81983793844"</f>
        <v>81983793844</v>
      </c>
      <c r="C461" t="str">
        <f>"EVERYDAY COUNTER-THANK YOU PK/6-U2600"</f>
        <v>EVERYDAY COUNTER-THANK YOU PK/6-U2600</v>
      </c>
      <c r="D461" t="str">
        <f>"U2600"</f>
        <v>U2600</v>
      </c>
      <c r="E461" t="str">
        <f>"ED24D112"</f>
        <v>ED24D112</v>
      </c>
    </row>
    <row r="462" spans="1:5" x14ac:dyDescent="0.25">
      <c r="A462" t="str">
        <f>"308144"</f>
        <v>308144</v>
      </c>
      <c r="B462" s="1" t="str">
        <f>"81983584664"</f>
        <v>81983584664</v>
      </c>
      <c r="C462" t="str">
        <f>"EVERYDAY COUNTER-THANK YOU-82374"</f>
        <v>EVERYDAY COUNTER-THANK YOU-82374</v>
      </c>
      <c r="D462" t="str">
        <f>"82374"</f>
        <v>82374</v>
      </c>
      <c r="E462" t="str">
        <f>"ED24D113"</f>
        <v>ED24D113</v>
      </c>
    </row>
    <row r="463" spans="1:5" x14ac:dyDescent="0.25">
      <c r="A463" t="str">
        <f>"308440"</f>
        <v>308440</v>
      </c>
      <c r="B463" s="1" t="str">
        <f>"81983721717"</f>
        <v>81983721717</v>
      </c>
      <c r="C463" t="str">
        <f>"EVERYDAY COUNTER-CONGRATS - GIFT CARD HOLDER/GREEN AND GOLD FLORAL PKG/6-J3423"</f>
        <v>EVERYDAY COUNTER-CONGRATS - GIFT CARD HOLDER/GREEN AND GOLD FLORAL PKG/6-J3423</v>
      </c>
      <c r="D463" t="str">
        <f>"J3423"</f>
        <v>J3423</v>
      </c>
      <c r="E463" t="str">
        <f>"ED24D114"</f>
        <v>ED24D114</v>
      </c>
    </row>
    <row r="464" spans="1:5" x14ac:dyDescent="0.25">
      <c r="A464" t="str">
        <f>"308439"</f>
        <v>308439</v>
      </c>
      <c r="B464" s="1" t="str">
        <f>"81983721700"</f>
        <v>81983721700</v>
      </c>
      <c r="C464" t="str">
        <f>"EVERYDAY COUNTER-CONGRATS - GIFT CARD HOLDER/SPECIAL OCCASIONS AND PEOPLE PKG/6-J3422"</f>
        <v>EVERYDAY COUNTER-CONGRATS - GIFT CARD HOLDER/SPECIAL OCCASIONS AND PEOPLE PKG/6-J3422</v>
      </c>
      <c r="D464" t="str">
        <f>"J3422"</f>
        <v>J3422</v>
      </c>
      <c r="E464" t="str">
        <f>"ED24D115"</f>
        <v>ED24D115</v>
      </c>
    </row>
    <row r="465" spans="1:5" x14ac:dyDescent="0.25">
      <c r="A465" t="str">
        <f>"298745"</f>
        <v>298745</v>
      </c>
      <c r="B465" s="1" t="str">
        <f>"81983772061"</f>
        <v>81983772061</v>
      </c>
      <c r="C465" t="str">
        <f>"EVERYDAY COUNTER-SPECIAL OCC-NEW HOME-J9918"</f>
        <v>EVERYDAY COUNTER-SPECIAL OCC-NEW HOME-J9918</v>
      </c>
      <c r="D465" t="str">
        <f>"J9918"</f>
        <v>J9918</v>
      </c>
      <c r="E465" t="str">
        <f>"ED24D116"</f>
        <v>ED24D116</v>
      </c>
    </row>
    <row r="466" spans="1:5" x14ac:dyDescent="0.25">
      <c r="A466" t="str">
        <f>"279609"</f>
        <v>279609</v>
      </c>
      <c r="B466" s="1" t="str">
        <f>"81983757556"</f>
        <v>81983757556</v>
      </c>
      <c r="C466" t="str">
        <f>"EVERYDAY COUNTER-SPIRITUAL OCC BAPTISM ADULT PKG/6-J8203"</f>
        <v>EVERYDAY COUNTER-SPIRITUAL OCC BAPTISM ADULT PKG/6-J8203</v>
      </c>
      <c r="D466" t="str">
        <f>"J8203"</f>
        <v>J8203</v>
      </c>
      <c r="E466" t="str">
        <f>"ED24E001"</f>
        <v>ED24E001</v>
      </c>
    </row>
    <row r="467" spans="1:5" x14ac:dyDescent="0.25">
      <c r="A467" t="str">
        <f>"308090"</f>
        <v>308090</v>
      </c>
      <c r="B467" s="1" t="str">
        <f>"81983567896"</f>
        <v>81983567896</v>
      </c>
      <c r="C467" t="str">
        <f>"EVERYDAY COUNTER-BAPTISM YOUTH-75318"</f>
        <v>EVERYDAY COUNTER-BAPTISM YOUTH-75318</v>
      </c>
      <c r="D467" t="str">
        <f>"75318"</f>
        <v>75318</v>
      </c>
      <c r="E467" t="str">
        <f>"ED24E002"</f>
        <v>ED24E002</v>
      </c>
    </row>
    <row r="468" spans="1:5" x14ac:dyDescent="0.25">
      <c r="A468" t="str">
        <f>"298723"</f>
        <v>298723</v>
      </c>
      <c r="B468" s="1" t="str">
        <f>"81983592874"</f>
        <v>81983592874</v>
      </c>
      <c r="C468" t="str">
        <f>"EVERYDAY COUNTER-SPIRIT OCC-WIM-11517"</f>
        <v>EVERYDAY COUNTER-SPIRIT OCC-WIM-11517</v>
      </c>
      <c r="D468" t="str">
        <f>"11517"</f>
        <v>11517</v>
      </c>
      <c r="E468" t="str">
        <f>"ED24E003"</f>
        <v>ED24E003</v>
      </c>
    </row>
    <row r="469" spans="1:5" x14ac:dyDescent="0.25">
      <c r="A469" t="str">
        <f>"374842"</f>
        <v>374842</v>
      </c>
      <c r="B469" s="1" t="str">
        <f>"081983789069"</f>
        <v>081983789069</v>
      </c>
      <c r="C469" t="str">
        <f>"EVERYDAY COUNTER-CONGRATULATIONS-PREMIUM PKG/2"</f>
        <v>EVERYDAY COUNTER-CONGRATULATIONS-PREMIUM PKG/2</v>
      </c>
      <c r="D469" t="str">
        <f>"U1992"</f>
        <v>U1992</v>
      </c>
      <c r="E469" t="str">
        <f>"ED24E004"</f>
        <v>ED24E004</v>
      </c>
    </row>
    <row r="470" spans="1:5" x14ac:dyDescent="0.25">
      <c r="A470" t="str">
        <f>"345230"</f>
        <v>345230</v>
      </c>
      <c r="B470" s="1" t="str">
        <f>"81983789052"</f>
        <v>81983789052</v>
      </c>
      <c r="C470" t="str">
        <f>"EVERYDAY COUNTER-CONGRATULATIONS-PREMIUM PKG/2"</f>
        <v>EVERYDAY COUNTER-CONGRATULATIONS-PREMIUM PKG/2</v>
      </c>
      <c r="D470" t="str">
        <f>"U1991"</f>
        <v>U1991</v>
      </c>
      <c r="E470" t="str">
        <f>"ED24E005"</f>
        <v>ED24E005</v>
      </c>
    </row>
    <row r="471" spans="1:5" x14ac:dyDescent="0.25">
      <c r="A471" t="str">
        <f>"308058"</f>
        <v>308058</v>
      </c>
      <c r="B471" s="1" t="str">
        <f>"81983771811"</f>
        <v>81983771811</v>
      </c>
      <c r="C471" t="str">
        <f>"EVERYDAY COUNTER-ENCOURAGEMENT TO KID-J9893"</f>
        <v>EVERYDAY COUNTER-ENCOURAGEMENT TO KID-J9893</v>
      </c>
      <c r="D471" t="str">
        <f>"J9893"</f>
        <v>J9893</v>
      </c>
      <c r="E471" t="str">
        <f>"ED24E006"</f>
        <v>ED24E006</v>
      </c>
    </row>
    <row r="472" spans="1:5" x14ac:dyDescent="0.25">
      <c r="A472" t="str">
        <f>"279588"</f>
        <v>279588</v>
      </c>
      <c r="B472" s="1" t="str">
        <f>"81983757396"</f>
        <v>81983757396</v>
      </c>
      <c r="C472" t="str">
        <f>"EVERYDAY COUNTER-ENCOURAGEMENT PKG/6-J8187"</f>
        <v>EVERYDAY COUNTER-ENCOURAGEMENT PKG/6-J8187</v>
      </c>
      <c r="D472" t="str">
        <f>"J8187"</f>
        <v>J8187</v>
      </c>
      <c r="E472" t="str">
        <f>"ED24E007"</f>
        <v>ED24E007</v>
      </c>
    </row>
    <row r="473" spans="1:5" x14ac:dyDescent="0.25">
      <c r="A473" t="str">
        <f>"307898"</f>
        <v>307898</v>
      </c>
      <c r="B473" s="1" t="str">
        <f>"81983771880"</f>
        <v>81983771880</v>
      </c>
      <c r="C473" t="str">
        <f>"EVERYDAY COUNTER-ENC-FOR ANYONE (Pk/6)-J9900"</f>
        <v>EVERYDAY COUNTER-ENC-FOR ANYONE (Pk/6)-J9900</v>
      </c>
      <c r="D473" t="str">
        <f>"J9900"</f>
        <v>J9900</v>
      </c>
      <c r="E473" t="str">
        <f>"ED24E008"</f>
        <v>ED24E008</v>
      </c>
    </row>
    <row r="474" spans="1:5" x14ac:dyDescent="0.25">
      <c r="A474" t="str">
        <f>"308219"</f>
        <v>308219</v>
      </c>
      <c r="B474" s="1" t="str">
        <f>"81983677410"</f>
        <v>81983677410</v>
      </c>
      <c r="C474" t="str">
        <f>"EVERYDAY COUNTER-ADULT BAPTISM PKG/6-91998"</f>
        <v>EVERYDAY COUNTER-ADULT BAPTISM PKG/6-91998</v>
      </c>
      <c r="D474" t="str">
        <f>"91998"</f>
        <v>91998</v>
      </c>
      <c r="E474" t="str">
        <f>"ED24E009"</f>
        <v>ED24E009</v>
      </c>
    </row>
    <row r="475" spans="1:5" x14ac:dyDescent="0.25">
      <c r="A475" t="str">
        <f>"279611"</f>
        <v>279611</v>
      </c>
      <c r="B475" s="1" t="str">
        <f>"81983774300"</f>
        <v>81983774300</v>
      </c>
      <c r="C475" t="str">
        <f>"EVERYDAY COUNTER-SPIRIT OCC-BAPTISM YOUTH PKG/6-J8205"</f>
        <v>EVERYDAY COUNTER-SPIRIT OCC-BAPTISM YOUTH PKG/6-J8205</v>
      </c>
      <c r="D475" t="str">
        <f>"J8205"</f>
        <v>J8205</v>
      </c>
      <c r="E475" t="str">
        <f>"ED24E010"</f>
        <v>ED24E010</v>
      </c>
    </row>
    <row r="476" spans="1:5" x14ac:dyDescent="0.25">
      <c r="A476" t="str">
        <f>"279615"</f>
        <v>279615</v>
      </c>
      <c r="B476" s="1" t="str">
        <f>"81983757600"</f>
        <v>81983757600</v>
      </c>
      <c r="C476" t="str">
        <f>"EVERYDAY COUNTER-SPIRITUAL OCC WOMEN IN MINISTR PKG/6-J8208"</f>
        <v>EVERYDAY COUNTER-SPIRITUAL OCC WOMEN IN MINISTR PKG/6-J8208</v>
      </c>
      <c r="D476" t="str">
        <f>"J8208"</f>
        <v>J8208</v>
      </c>
      <c r="E476" t="str">
        <f>"ED24E011"</f>
        <v>ED24E011</v>
      </c>
    </row>
    <row r="477" spans="1:5" x14ac:dyDescent="0.25">
      <c r="A477" t="str">
        <f>"345228"</f>
        <v>345228</v>
      </c>
      <c r="B477" s="1" t="str">
        <f>"81983789045"</f>
        <v>81983789045</v>
      </c>
      <c r="C477" t="str">
        <f>"EVERYDAY COUNTER-CONGRATULATIONS-PREMIUM PKG/2"</f>
        <v>EVERYDAY COUNTER-CONGRATULATIONS-PREMIUM PKG/2</v>
      </c>
      <c r="D477" t="str">
        <f>"U1990"</f>
        <v>U1990</v>
      </c>
      <c r="E477" t="str">
        <f>"ED24E012"</f>
        <v>ED24E012</v>
      </c>
    </row>
    <row r="478" spans="1:5" x14ac:dyDescent="0.25">
      <c r="A478" t="str">
        <f>"345272"</f>
        <v>345272</v>
      </c>
      <c r="B478" s="1" t="str">
        <f>"81983794599"</f>
        <v>81983794599</v>
      </c>
      <c r="C478" t="str">
        <f>"EVERYDAY COUNTER-CONGRATULATIONS GRADUATE PKG/6"</f>
        <v>EVERYDAY COUNTER-CONGRATULATIONS GRADUATE PKG/6</v>
      </c>
      <c r="D478" t="str">
        <f>"U2678"</f>
        <v>U2678</v>
      </c>
      <c r="E478" t="str">
        <f>"ED24E013"</f>
        <v>ED24E013</v>
      </c>
    </row>
    <row r="479" spans="1:5" x14ac:dyDescent="0.25">
      <c r="A479" t="str">
        <f>"308060"</f>
        <v>308060</v>
      </c>
      <c r="B479" s="1" t="str">
        <f>"81983643217"</f>
        <v>81983643217</v>
      </c>
      <c r="C479" t="str">
        <f>"EVERYDAY COUNTER-ENCOURAGEMENT TO KID-72813"</f>
        <v>EVERYDAY COUNTER-ENCOURAGEMENT TO KID-72813</v>
      </c>
      <c r="D479" t="str">
        <f>"72813"</f>
        <v>72813</v>
      </c>
      <c r="E479" t="str">
        <f>"ED24E014"</f>
        <v>ED24E014</v>
      </c>
    </row>
    <row r="480" spans="1:5" x14ac:dyDescent="0.25">
      <c r="A480" t="str">
        <f>"308053"</f>
        <v>308053</v>
      </c>
      <c r="B480" s="1" t="str">
        <f>"81983643163"</f>
        <v>81983643163</v>
      </c>
      <c r="C480" t="str">
        <f>"EVERYDAY COUNTER-ENCOURAGEMENT-72804"</f>
        <v>EVERYDAY COUNTER-ENCOURAGEMENT-72804</v>
      </c>
      <c r="D480" t="str">
        <f>"72804"</f>
        <v>72804</v>
      </c>
      <c r="E480" t="str">
        <f>"ED24E015"</f>
        <v>ED24E015</v>
      </c>
    </row>
    <row r="481" spans="1:5" x14ac:dyDescent="0.25">
      <c r="A481" t="str">
        <f>"298750"</f>
        <v>298750</v>
      </c>
      <c r="B481" s="1" t="str">
        <f>"81983771897"</f>
        <v>81983771897</v>
      </c>
      <c r="C481" t="str">
        <f>"EVERYDAY COUNTER-ENC-FOR ANYONE-J9901"</f>
        <v>EVERYDAY COUNTER-ENC-FOR ANYONE-J9901</v>
      </c>
      <c r="D481" t="str">
        <f>"J9901"</f>
        <v>J9901</v>
      </c>
      <c r="E481" t="str">
        <f>"ED24E016"</f>
        <v>ED24E016</v>
      </c>
    </row>
    <row r="482" spans="1:5" x14ac:dyDescent="0.25">
      <c r="A482" t="str">
        <f>"308042"</f>
        <v>308042</v>
      </c>
      <c r="B482" s="1" t="str">
        <f>"81983643071"</f>
        <v>81983643071</v>
      </c>
      <c r="C482" t="str">
        <f>"EVERYDAY COUNTER-ADULT BAPTISM PKG/6-72715"</f>
        <v>EVERYDAY COUNTER-ADULT BAPTISM PKG/6-72715</v>
      </c>
      <c r="D482" t="str">
        <f>"72715"</f>
        <v>72715</v>
      </c>
      <c r="E482" t="str">
        <f>"ED24E017"</f>
        <v>ED24E017</v>
      </c>
    </row>
    <row r="483" spans="1:5" x14ac:dyDescent="0.25">
      <c r="A483" t="str">
        <f>"308220"</f>
        <v>308220</v>
      </c>
      <c r="B483" s="1" t="str">
        <f>"81983677427"</f>
        <v>81983677427</v>
      </c>
      <c r="C483" t="str">
        <f>"EVERYDAY COUNTER-YOUTH BAPTISM PKG/6-91999"</f>
        <v>EVERYDAY COUNTER-YOUTH BAPTISM PKG/6-91999</v>
      </c>
      <c r="D483" t="str">
        <f>"91999"</f>
        <v>91999</v>
      </c>
      <c r="E483" t="str">
        <f>"ED24E018"</f>
        <v>ED24E018</v>
      </c>
    </row>
    <row r="484" spans="1:5" x14ac:dyDescent="0.25">
      <c r="A484" t="str">
        <f>"308096"</f>
        <v>308096</v>
      </c>
      <c r="B484" s="1" t="str">
        <f>"81983589461"</f>
        <v>81983589461</v>
      </c>
      <c r="C484" t="str">
        <f>"EVERYDAY COUNTER-YOUTH PASTOR APPREC.-75410"</f>
        <v>EVERYDAY COUNTER-YOUTH PASTOR APPREC.-75410</v>
      </c>
      <c r="D484" t="str">
        <f>"75410"</f>
        <v>75410</v>
      </c>
      <c r="E484" t="str">
        <f>"ED24E019"</f>
        <v>ED24E019</v>
      </c>
    </row>
    <row r="485" spans="1:5" x14ac:dyDescent="0.25">
      <c r="A485" t="str">
        <f>"345271"</f>
        <v>345271</v>
      </c>
      <c r="B485" s="1" t="str">
        <f>"81983794582"</f>
        <v>81983794582</v>
      </c>
      <c r="C485" t="str">
        <f>"EVERYDAY COUNTER-CONGRATULATIONS/BABY SHOWER PKG/6"</f>
        <v>EVERYDAY COUNTER-CONGRATULATIONS/BABY SHOWER PKG/6</v>
      </c>
      <c r="D485" t="str">
        <f>"U2677"</f>
        <v>U2677</v>
      </c>
      <c r="E485" t="str">
        <f>"ED24E020"</f>
        <v>ED24E020</v>
      </c>
    </row>
    <row r="486" spans="1:5" x14ac:dyDescent="0.25">
      <c r="A486" t="str">
        <f>"345273"</f>
        <v>345273</v>
      </c>
      <c r="B486" s="1" t="str">
        <f>"81983794605"</f>
        <v>81983794605</v>
      </c>
      <c r="C486" t="str">
        <f>"EVERYDAY COUNTER-CONGRATULATIONS GRADUATE PKG/6"</f>
        <v>EVERYDAY COUNTER-CONGRATULATIONS GRADUATE PKG/6</v>
      </c>
      <c r="D486" t="str">
        <f>"U2679"</f>
        <v>U2679</v>
      </c>
      <c r="E486" t="str">
        <f>"ED24E021"</f>
        <v>ED24E021</v>
      </c>
    </row>
    <row r="487" spans="1:5" x14ac:dyDescent="0.25">
      <c r="A487" t="str">
        <f>"345239"</f>
        <v>345239</v>
      </c>
      <c r="B487" s="1" t="str">
        <f>"81983793622"</f>
        <v>81983793622</v>
      </c>
      <c r="C487" t="str">
        <f>"EVERYDAY COUNTER-ENCOURAGEMENT BLANK PKG/6"</f>
        <v>EVERYDAY COUNTER-ENCOURAGEMENT BLANK PKG/6</v>
      </c>
      <c r="D487" t="str">
        <f>"U2578"</f>
        <v>U2578</v>
      </c>
      <c r="E487" t="str">
        <f>"ED24E022"</f>
        <v>ED24E022</v>
      </c>
    </row>
    <row r="488" spans="1:5" x14ac:dyDescent="0.25">
      <c r="A488" t="str">
        <f>"308052"</f>
        <v>308052</v>
      </c>
      <c r="B488" s="1" t="str">
        <f>"81983773389"</f>
        <v>81983773389</v>
      </c>
      <c r="C488" t="str">
        <f>"EVERYDAY COUNTER-ENCOURAGEMENT-72803"</f>
        <v>EVERYDAY COUNTER-ENCOURAGEMENT-72803</v>
      </c>
      <c r="D488" t="str">
        <f>"72803"</f>
        <v>72803</v>
      </c>
      <c r="E488" t="str">
        <f>"ED24E023"</f>
        <v>ED24E023</v>
      </c>
    </row>
    <row r="489" spans="1:5" x14ac:dyDescent="0.25">
      <c r="A489" t="str">
        <f>"307997"</f>
        <v>307997</v>
      </c>
      <c r="B489" s="1" t="str">
        <f>"81983771903"</f>
        <v>81983771903</v>
      </c>
      <c r="C489" t="str">
        <f>"EVERYDAY COUNTER-ENC-HOPE (Pk/6)-J9902"</f>
        <v>EVERYDAY COUNTER-ENC-HOPE (Pk/6)-J9902</v>
      </c>
      <c r="D489" t="str">
        <f>"J9902"</f>
        <v>J9902</v>
      </c>
      <c r="E489" t="str">
        <f>"ED24E024"</f>
        <v>ED24E024</v>
      </c>
    </row>
    <row r="490" spans="1:5" x14ac:dyDescent="0.25">
      <c r="A490" t="str">
        <f>"298700"</f>
        <v>298700</v>
      </c>
      <c r="B490" s="1" t="str">
        <f>"81983652356"</f>
        <v>81983652356</v>
      </c>
      <c r="C490" t="str">
        <f>"EVERYDAY COUNTER-BAPTISM ADULT PKG/6-10278"</f>
        <v>EVERYDAY COUNTER-BAPTISM ADULT PKG/6-10278</v>
      </c>
      <c r="D490" t="str">
        <f>"10278"</f>
        <v>10278</v>
      </c>
      <c r="E490" t="str">
        <f>"ED24E025"</f>
        <v>ED24E025</v>
      </c>
    </row>
    <row r="491" spans="1:5" x14ac:dyDescent="0.25">
      <c r="A491" t="str">
        <f>"308008"</f>
        <v>308008</v>
      </c>
      <c r="B491" s="1" t="str">
        <f>"81983772115"</f>
        <v>81983772115</v>
      </c>
      <c r="C491" t="str">
        <f>"EVERYDAY COUNTER-YOUTH BAPTISM-J9923"</f>
        <v>EVERYDAY COUNTER-YOUTH BAPTISM-J9923</v>
      </c>
      <c r="D491" t="str">
        <f>"J9923"</f>
        <v>J9923</v>
      </c>
      <c r="E491" t="str">
        <f>"ED24E026"</f>
        <v>ED24E026</v>
      </c>
    </row>
    <row r="492" spans="1:5" x14ac:dyDescent="0.25">
      <c r="A492" t="str">
        <f>"308109"</f>
        <v>308109</v>
      </c>
      <c r="B492" s="1" t="str">
        <f>"81983644276"</f>
        <v>81983644276</v>
      </c>
      <c r="C492" t="str">
        <f>"EVERYDAY COUNTER-STEPPING OUT IN FAITH-76484"</f>
        <v>EVERYDAY COUNTER-STEPPING OUT IN FAITH-76484</v>
      </c>
      <c r="D492" t="str">
        <f>"76484"</f>
        <v>76484</v>
      </c>
      <c r="E492" t="str">
        <f>"ED24E027"</f>
        <v>ED24E027</v>
      </c>
    </row>
    <row r="493" spans="1:5" x14ac:dyDescent="0.25">
      <c r="A493" t="str">
        <f>"345227"</f>
        <v>345227</v>
      </c>
      <c r="B493" s="1" t="str">
        <f>"81983789038"</f>
        <v>81983789038</v>
      </c>
      <c r="C493" t="str">
        <f>"EVERYDAY COUNTER-BABY CONGRATS-PREMIUM PKG/2"</f>
        <v>EVERYDAY COUNTER-BABY CONGRATS-PREMIUM PKG/2</v>
      </c>
      <c r="D493" t="str">
        <f>"U1989"</f>
        <v>U1989</v>
      </c>
      <c r="E493" t="str">
        <f>"ED24E028"</f>
        <v>ED24E028</v>
      </c>
    </row>
    <row r="494" spans="1:5" x14ac:dyDescent="0.25">
      <c r="A494" t="str">
        <f>"345270"</f>
        <v>345270</v>
      </c>
      <c r="B494" s="1" t="str">
        <f>"81983794575"</f>
        <v>81983794575</v>
      </c>
      <c r="C494" t="str">
        <f>"EVERYDAY COUNTER-CONGRATULATIONS BABY PKG/6"</f>
        <v>EVERYDAY COUNTER-CONGRATULATIONS BABY PKG/6</v>
      </c>
      <c r="D494" t="str">
        <f>"U2676"</f>
        <v>U2676</v>
      </c>
      <c r="E494" t="str">
        <f>"ED24E029"</f>
        <v>ED24E029</v>
      </c>
    </row>
    <row r="495" spans="1:5" x14ac:dyDescent="0.25">
      <c r="A495" t="str">
        <f>"308009"</f>
        <v>308009</v>
      </c>
      <c r="B495" s="1" t="str">
        <f>"81983771828"</f>
        <v>81983771828</v>
      </c>
      <c r="C495" t="str">
        <f>"EVERYDAY COUNTER-ENCOURAGEMENT GENERAL-J9894"</f>
        <v>EVERYDAY COUNTER-ENCOURAGEMENT GENERAL-J9894</v>
      </c>
      <c r="D495" t="str">
        <f>"J9894"</f>
        <v>J9894</v>
      </c>
      <c r="E495" t="str">
        <f>"ED24E030"</f>
        <v>ED24E030</v>
      </c>
    </row>
    <row r="496" spans="1:5" x14ac:dyDescent="0.25">
      <c r="A496" t="str">
        <f>"308048"</f>
        <v>308048</v>
      </c>
      <c r="B496" s="1" t="str">
        <f>"81983773402"</f>
        <v>81983773402</v>
      </c>
      <c r="C496" t="str">
        <f>"EVERYDAY COUNTER-ENCOURAGEMENT-72801"</f>
        <v>EVERYDAY COUNTER-ENCOURAGEMENT-72801</v>
      </c>
      <c r="D496" t="str">
        <f>"72801"</f>
        <v>72801</v>
      </c>
      <c r="E496" t="str">
        <f>"ED24E031"</f>
        <v>ED24E031</v>
      </c>
    </row>
    <row r="497" spans="1:5" x14ac:dyDescent="0.25">
      <c r="A497" t="str">
        <f>"307975"</f>
        <v>307975</v>
      </c>
      <c r="B497" s="1" t="str">
        <f>"81983771910"</f>
        <v>81983771910</v>
      </c>
      <c r="C497" t="str">
        <f>"EVERYDAY COUNTER-ENC-HOPE-J9903"</f>
        <v>EVERYDAY COUNTER-ENC-HOPE-J9903</v>
      </c>
      <c r="D497" t="str">
        <f>"J9903"</f>
        <v>J9903</v>
      </c>
      <c r="E497" t="str">
        <f>"ED24E032"</f>
        <v>ED24E032</v>
      </c>
    </row>
    <row r="498" spans="1:5" x14ac:dyDescent="0.25">
      <c r="A498" t="str">
        <f>"308244"</f>
        <v>308244</v>
      </c>
      <c r="B498" s="1" t="str">
        <f>"81983678882"</f>
        <v>81983678882</v>
      </c>
      <c r="C498" t="str">
        <f>"EVERYDAY COUNTER-BAPTISM PKG/6-92185"</f>
        <v>EVERYDAY COUNTER-BAPTISM PKG/6-92185</v>
      </c>
      <c r="D498" t="str">
        <f>"92185"</f>
        <v>92185</v>
      </c>
      <c r="E498" t="str">
        <f>"ED24E033"</f>
        <v>ED24E033</v>
      </c>
    </row>
    <row r="499" spans="1:5" x14ac:dyDescent="0.25">
      <c r="A499" t="str">
        <f>"345257"</f>
        <v>345257</v>
      </c>
      <c r="B499" s="1" t="str">
        <f>"81983793776"</f>
        <v>81983793776</v>
      </c>
      <c r="C499" t="str">
        <f>"EVERYDAY COUNTER-BAPTISM BABY PKG/6"</f>
        <v>EVERYDAY COUNTER-BAPTISM BABY PKG/6</v>
      </c>
      <c r="D499" t="str">
        <f>"U2593"</f>
        <v>U2593</v>
      </c>
      <c r="E499" t="str">
        <f>"ED24E034"</f>
        <v>ED24E034</v>
      </c>
    </row>
    <row r="500" spans="1:5" x14ac:dyDescent="0.25">
      <c r="A500" t="str">
        <f>"307921"</f>
        <v>307921</v>
      </c>
      <c r="B500" s="1" t="str">
        <f>"81983612831"</f>
        <v>81983612831</v>
      </c>
      <c r="C500" t="str">
        <f>"EVERYDAY COUNTER-SPIRITUAL OCC-STEP IN FAITH-44429"</f>
        <v>EVERYDAY COUNTER-SPIRITUAL OCC-STEP IN FAITH-44429</v>
      </c>
      <c r="D500" t="str">
        <f>"44429"</f>
        <v>44429</v>
      </c>
      <c r="E500" t="str">
        <f>"ED24E035"</f>
        <v>ED24E035</v>
      </c>
    </row>
    <row r="501" spans="1:5" x14ac:dyDescent="0.25">
      <c r="A501" t="str">
        <f>"308213"</f>
        <v>308213</v>
      </c>
      <c r="B501" s="1" t="str">
        <f>"81983677359"</f>
        <v>81983677359</v>
      </c>
      <c r="C501" t="str">
        <f>"EVERYDAY COUNTER-FRIENDSHIP PKG/6-91992"</f>
        <v>EVERYDAY COUNTER-FRIENDSHIP PKG/6-91992</v>
      </c>
      <c r="D501" t="str">
        <f>"91992"</f>
        <v>91992</v>
      </c>
      <c r="E501" t="str">
        <f>"ED24E036"</f>
        <v>ED24E036</v>
      </c>
    </row>
    <row r="502" spans="1:5" x14ac:dyDescent="0.25">
      <c r="A502" t="str">
        <f>"308016"</f>
        <v>308016</v>
      </c>
      <c r="B502" s="1" t="str">
        <f>"81983562914"</f>
        <v>81983562914</v>
      </c>
      <c r="C502" t="str">
        <f>"EVERYDAY COUNTER-BUSY MOM ENCOURAGEMENT-66647"</f>
        <v>EVERYDAY COUNTER-BUSY MOM ENCOURAGEMENT-66647</v>
      </c>
      <c r="D502" t="str">
        <f>"66647"</f>
        <v>66647</v>
      </c>
      <c r="E502" t="str">
        <f>"ED24E037"</f>
        <v>ED24E037</v>
      </c>
    </row>
    <row r="503" spans="1:5" x14ac:dyDescent="0.25">
      <c r="A503" t="str">
        <f>"307996"</f>
        <v>307996</v>
      </c>
      <c r="B503" s="1" t="str">
        <f>"81983618956"</f>
        <v>81983618956</v>
      </c>
      <c r="C503" t="str">
        <f>"EVERYDAY COUNTER-ENC-I CAN RELATE-55900"</f>
        <v>EVERYDAY COUNTER-ENC-I CAN RELATE-55900</v>
      </c>
      <c r="D503" t="str">
        <f>"55900"</f>
        <v>55900</v>
      </c>
      <c r="E503" t="str">
        <f>"ED24E038"</f>
        <v>ED24E038</v>
      </c>
    </row>
    <row r="504" spans="1:5" x14ac:dyDescent="0.25">
      <c r="A504" t="str">
        <f>"401608"</f>
        <v>401608</v>
      </c>
      <c r="B504" s="1" t="str">
        <f>"81983612534"</f>
        <v>81983612534</v>
      </c>
      <c r="C504" t="str">
        <f>"EVERYDAY COUNTER-ENCOURAGEMENT - FOR ANYONE-44144"</f>
        <v>EVERYDAY COUNTER-ENCOURAGEMENT - FOR ANYONE-44144</v>
      </c>
      <c r="D504" t="str">
        <f>"44144"</f>
        <v>44144</v>
      </c>
      <c r="E504" t="str">
        <f>"ED24E039"</f>
        <v>ED24E039</v>
      </c>
    </row>
    <row r="505" spans="1:5" x14ac:dyDescent="0.25">
      <c r="A505" t="str">
        <f>"308212"</f>
        <v>308212</v>
      </c>
      <c r="B505" s="1" t="str">
        <f>"81983677342"</f>
        <v>81983677342</v>
      </c>
      <c r="C505" t="str">
        <f>"EVERYDAY COUNTER-ENCOURAGE-HOPE PKG/6-91991"</f>
        <v>EVERYDAY COUNTER-ENCOURAGE-HOPE PKG/6-91991</v>
      </c>
      <c r="D505" t="str">
        <f>"91991"</f>
        <v>91991</v>
      </c>
      <c r="E505" t="str">
        <f>"ED24E040"</f>
        <v>ED24E040</v>
      </c>
    </row>
    <row r="506" spans="1:5" x14ac:dyDescent="0.25">
      <c r="A506" t="str">
        <f>"345255"</f>
        <v>345255</v>
      </c>
      <c r="B506" s="1" t="str">
        <f>"81983793769"</f>
        <v>81983793769</v>
      </c>
      <c r="C506" t="str">
        <f>"EVERYDAY COUNTER-BAPTISM ADULT PKG/6"</f>
        <v>EVERYDAY COUNTER-BAPTISM ADULT PKG/6</v>
      </c>
      <c r="D506" t="str">
        <f>"U2592"</f>
        <v>U2592</v>
      </c>
      <c r="E506" t="str">
        <f>"ED24E041"</f>
        <v>ED24E041</v>
      </c>
    </row>
    <row r="507" spans="1:5" x14ac:dyDescent="0.25">
      <c r="A507" t="str">
        <f>"298706"</f>
        <v>298706</v>
      </c>
      <c r="B507" s="1" t="str">
        <f>"81983652479"</f>
        <v>81983652479</v>
      </c>
      <c r="C507" t="str">
        <f>"EVERYDAY COUNTER-BAPTISM BABY PKG/6-10285"</f>
        <v>EVERYDAY COUNTER-BAPTISM BABY PKG/6-10285</v>
      </c>
      <c r="D507" t="str">
        <f>"10285"</f>
        <v>10285</v>
      </c>
      <c r="E507" t="str">
        <f>"ED24E042"</f>
        <v>ED24E042</v>
      </c>
    </row>
    <row r="508" spans="1:5" x14ac:dyDescent="0.25">
      <c r="A508" t="str">
        <f>"279613"</f>
        <v>279613</v>
      </c>
      <c r="B508" s="1" t="str">
        <f>"81983774317"</f>
        <v>81983774317</v>
      </c>
      <c r="C508" t="str">
        <f>"EVERYDAY COUNTER-SPIRITUAL OCC-CONFIRMATION PKG/6-J8207"</f>
        <v>EVERYDAY COUNTER-SPIRITUAL OCC-CONFIRMATION PKG/6-J8207</v>
      </c>
      <c r="D508" t="str">
        <f>"J8207"</f>
        <v>J8207</v>
      </c>
      <c r="E508" t="str">
        <f>"ED24E043"</f>
        <v>ED24E043</v>
      </c>
    </row>
    <row r="509" spans="1:5" x14ac:dyDescent="0.25">
      <c r="A509" t="str">
        <f>"279591"</f>
        <v>279591</v>
      </c>
      <c r="B509" s="1" t="str">
        <f>"81983757426"</f>
        <v>81983757426</v>
      </c>
      <c r="C509" t="str">
        <f>"EVERYDAY COUNTER-FRIENDSHIP PKG/6-J8190"</f>
        <v>EVERYDAY COUNTER-FRIENDSHIP PKG/6-J8190</v>
      </c>
      <c r="D509" t="str">
        <f>"J8190"</f>
        <v>J8190</v>
      </c>
      <c r="E509" t="str">
        <f>"ED24E044"</f>
        <v>ED24E044</v>
      </c>
    </row>
    <row r="510" spans="1:5" x14ac:dyDescent="0.25">
      <c r="A510" t="str">
        <f>"298782"</f>
        <v>298782</v>
      </c>
      <c r="B510" s="1" t="str">
        <f>"81983771927"</f>
        <v>81983771927</v>
      </c>
      <c r="C510" t="str">
        <f>"EVERYDAY COUNTER-IN THIS TOGETHER-J9904"</f>
        <v>EVERYDAY COUNTER-IN THIS TOGETHER-J9904</v>
      </c>
      <c r="D510" t="str">
        <f>"J9904"</f>
        <v>J9904</v>
      </c>
      <c r="E510" t="str">
        <f>"ED24E045"</f>
        <v>ED24E045</v>
      </c>
    </row>
    <row r="511" spans="1:5" x14ac:dyDescent="0.25">
      <c r="A511" t="str">
        <f>"308024"</f>
        <v>308024</v>
      </c>
      <c r="B511" s="1" t="str">
        <f>"81983589119"</f>
        <v>81983589119</v>
      </c>
      <c r="C511" t="str">
        <f>"EVERYDAY COUNTER-I CAN RELATE - ENCOURAGEMENT-66659"</f>
        <v>EVERYDAY COUNTER-I CAN RELATE - ENCOURAGEMENT-66659</v>
      </c>
      <c r="D511" t="str">
        <f>"66659"</f>
        <v>66659</v>
      </c>
      <c r="E511" t="str">
        <f>"ED24E046"</f>
        <v>ED24E046</v>
      </c>
    </row>
    <row r="512" spans="1:5" x14ac:dyDescent="0.25">
      <c r="A512" t="str">
        <f>"307982"</f>
        <v>307982</v>
      </c>
      <c r="B512" s="1" t="str">
        <f>"81983618796"</f>
        <v>81983618796</v>
      </c>
      <c r="C512" t="str">
        <f>"EVERYDAY COUNTER-ENCOURAGEMENT FOR ANYONE-55404"</f>
        <v>EVERYDAY COUNTER-ENCOURAGEMENT FOR ANYONE-55404</v>
      </c>
      <c r="D512" t="str">
        <f>"55404"</f>
        <v>55404</v>
      </c>
      <c r="E512" t="str">
        <f>"ED24E047"</f>
        <v>ED24E047</v>
      </c>
    </row>
    <row r="513" spans="1:5" x14ac:dyDescent="0.25">
      <c r="A513" t="str">
        <f>"307919"</f>
        <v>307919</v>
      </c>
      <c r="B513" s="1" t="str">
        <f>"81983612794"</f>
        <v>81983612794</v>
      </c>
      <c r="C513" t="str">
        <f>"EVERYDAY COUNTER-ENC-HOPE-44424"</f>
        <v>EVERYDAY COUNTER-ENC-HOPE-44424</v>
      </c>
      <c r="D513" t="str">
        <f>"44424"</f>
        <v>44424</v>
      </c>
      <c r="E513" t="str">
        <f>"ED24E048"</f>
        <v>ED24E048</v>
      </c>
    </row>
    <row r="514" spans="1:5" x14ac:dyDescent="0.25">
      <c r="A514" t="str">
        <f>"298701"</f>
        <v>298701</v>
      </c>
      <c r="B514" s="1" t="str">
        <f>"81983652394"</f>
        <v>81983652394</v>
      </c>
      <c r="C514" t="str">
        <f>"EVERYDAY COUNTER-BAPTISM ADULT PKG/6-10279"</f>
        <v>EVERYDAY COUNTER-BAPTISM ADULT PKG/6-10279</v>
      </c>
      <c r="D514" t="str">
        <f>"10279"</f>
        <v>10279</v>
      </c>
      <c r="E514" t="str">
        <f>"ED24E049"</f>
        <v>ED24E049</v>
      </c>
    </row>
    <row r="515" spans="1:5" x14ac:dyDescent="0.25">
      <c r="A515" t="str">
        <f>"279610"</f>
        <v>279610</v>
      </c>
      <c r="B515" s="1" t="str">
        <f>"81983757563"</f>
        <v>81983757563</v>
      </c>
      <c r="C515" t="str">
        <f>"EVERYDAY COUNTER-SPIRITUAL OCC BAPTISM BABY PKG/6-J8204"</f>
        <v>EVERYDAY COUNTER-SPIRITUAL OCC BAPTISM BABY PKG/6-J8204</v>
      </c>
      <c r="D515" t="str">
        <f>"J8204"</f>
        <v>J8204</v>
      </c>
      <c r="E515" t="str">
        <f>"ED24E050"</f>
        <v>ED24E050</v>
      </c>
    </row>
    <row r="516" spans="1:5" x14ac:dyDescent="0.25">
      <c r="A516" t="str">
        <f>"307972"</f>
        <v>307972</v>
      </c>
      <c r="B516" s="1" t="str">
        <f>"81983618680"</f>
        <v>81983618680</v>
      </c>
      <c r="C516" t="str">
        <f>"EVERYDAY COUNTER-SPIRIT OCC-CONFIRMATION-55201"</f>
        <v>EVERYDAY COUNTER-SPIRIT OCC-CONFIRMATION-55201</v>
      </c>
      <c r="D516" t="str">
        <f>"55201"</f>
        <v>55201</v>
      </c>
      <c r="E516" t="str">
        <f>"ED24E051"</f>
        <v>ED24E051</v>
      </c>
    </row>
    <row r="517" spans="1:5" x14ac:dyDescent="0.25">
      <c r="A517" t="str">
        <f>"307912"</f>
        <v>307912</v>
      </c>
      <c r="B517" s="1" t="str">
        <f>"81983771965"</f>
        <v>81983771965</v>
      </c>
      <c r="C517" t="str">
        <f>"EVERYDAY COUNTER-FRIENDSHIP-FOR ANYONE-J9908"</f>
        <v>EVERYDAY COUNTER-FRIENDSHIP-FOR ANYONE-J9908</v>
      </c>
      <c r="D517" t="str">
        <f>"J9908"</f>
        <v>J9908</v>
      </c>
      <c r="E517" t="str">
        <f>"ED24E052"</f>
        <v>ED24E052</v>
      </c>
    </row>
    <row r="518" spans="1:5" x14ac:dyDescent="0.25">
      <c r="A518" t="str">
        <f>"307984"</f>
        <v>307984</v>
      </c>
      <c r="B518" s="1" t="str">
        <f>"81983618826"</f>
        <v>81983618826</v>
      </c>
      <c r="C518" t="str">
        <f>"EVERYDAY COUNTER-ENC-IN THIS TOGETHER-55525"</f>
        <v>EVERYDAY COUNTER-ENC-IN THIS TOGETHER-55525</v>
      </c>
      <c r="D518" t="str">
        <f>"55525"</f>
        <v>55525</v>
      </c>
      <c r="E518" t="str">
        <f>"ED24E053"</f>
        <v>ED24E053</v>
      </c>
    </row>
    <row r="519" spans="1:5" x14ac:dyDescent="0.25">
      <c r="A519" t="str">
        <f>"308000"</f>
        <v>308000</v>
      </c>
      <c r="B519" s="1" t="str">
        <f>"81983618970"</f>
        <v>81983618970</v>
      </c>
      <c r="C519" t="str">
        <f>"EVERYDAY COUNTER-ENC-I CAN RELATE-55902"</f>
        <v>EVERYDAY COUNTER-ENC-I CAN RELATE-55902</v>
      </c>
      <c r="D519" t="str">
        <f>"55902"</f>
        <v>55902</v>
      </c>
      <c r="E519" t="str">
        <f>"ED24E054"</f>
        <v>ED24E054</v>
      </c>
    </row>
    <row r="520" spans="1:5" x14ac:dyDescent="0.25">
      <c r="A520" t="str">
        <f>"307952"</f>
        <v>307952</v>
      </c>
      <c r="B520" s="1" t="str">
        <f>"81983618147"</f>
        <v>81983618147</v>
      </c>
      <c r="C520" t="str">
        <f>"EVERYDAY COUNTER-ENCOURAGEMENT FOR ANYONE-52029"</f>
        <v>EVERYDAY COUNTER-ENCOURAGEMENT FOR ANYONE-52029</v>
      </c>
      <c r="D520" t="str">
        <f>"52029"</f>
        <v>52029</v>
      </c>
      <c r="E520" t="str">
        <f>"ED24E055"</f>
        <v>ED24E055</v>
      </c>
    </row>
    <row r="521" spans="1:5" x14ac:dyDescent="0.25">
      <c r="A521" t="str">
        <f>"307939"</f>
        <v>307939</v>
      </c>
      <c r="B521" s="1" t="str">
        <f>"81983771958"</f>
        <v>81983771958</v>
      </c>
      <c r="C521" t="str">
        <f>"EVERYDAY COUNTER-HOPE-J9907"</f>
        <v>EVERYDAY COUNTER-HOPE-J9907</v>
      </c>
      <c r="D521" t="str">
        <f>"J9907"</f>
        <v>J9907</v>
      </c>
      <c r="E521" t="str">
        <f>"ED24E056"</f>
        <v>ED24E056</v>
      </c>
    </row>
    <row r="522" spans="1:5" x14ac:dyDescent="0.25">
      <c r="A522" t="str">
        <f>"307943"</f>
        <v>307943</v>
      </c>
      <c r="B522" s="1" t="str">
        <f>"81983772085"</f>
        <v>81983772085</v>
      </c>
      <c r="C522" t="str">
        <f>"EVERYDAY COUNTER-BABY SPECIAL DAY-J9920"</f>
        <v>EVERYDAY COUNTER-BABY SPECIAL DAY-J9920</v>
      </c>
      <c r="D522" t="str">
        <f>"J9920"</f>
        <v>J9920</v>
      </c>
      <c r="E522" t="str">
        <f>"ED24E057"</f>
        <v>ED24E057</v>
      </c>
    </row>
    <row r="523" spans="1:5" x14ac:dyDescent="0.25">
      <c r="A523" t="str">
        <f>"298727"</f>
        <v>298727</v>
      </c>
      <c r="B523" s="1" t="str">
        <f>"81983678271"</f>
        <v>81983678271</v>
      </c>
      <c r="C523" t="str">
        <f>"EVERYDAY COUNTER-SPIRIT OCC-BABY DEDICATION-11523"</f>
        <v>EVERYDAY COUNTER-SPIRIT OCC-BABY DEDICATION-11523</v>
      </c>
      <c r="D523" t="str">
        <f>"11523"</f>
        <v>11523</v>
      </c>
      <c r="E523" t="str">
        <f>"ED24E058"</f>
        <v>ED24E058</v>
      </c>
    </row>
    <row r="524" spans="1:5" x14ac:dyDescent="0.25">
      <c r="A524" t="str">
        <f>"279612"</f>
        <v>279612</v>
      </c>
      <c r="B524" s="1" t="str">
        <f>"81983757587"</f>
        <v>81983757587</v>
      </c>
      <c r="C524" t="str">
        <f>"EVERYDAY COUNTER-SPIRITUAL OCC-CONFIRMATION PKG/6-J8206"</f>
        <v>EVERYDAY COUNTER-SPIRITUAL OCC-CONFIRMATION PKG/6-J8206</v>
      </c>
      <c r="D524" t="str">
        <f>"J8206"</f>
        <v>J8206</v>
      </c>
      <c r="E524" t="str">
        <f>"ED24E059"</f>
        <v>ED24E059</v>
      </c>
    </row>
    <row r="525" spans="1:5" x14ac:dyDescent="0.25">
      <c r="A525" t="str">
        <f>"307914"</f>
        <v>307914</v>
      </c>
      <c r="B525" s="1" t="str">
        <f>"81983612701"</f>
        <v>81983612701</v>
      </c>
      <c r="C525" t="str">
        <f>"EVERYDAY COUNTER-FRIENDSHIP - ANYONE-44401"</f>
        <v>EVERYDAY COUNTER-FRIENDSHIP - ANYONE-44401</v>
      </c>
      <c r="D525" t="str">
        <f>"44401"</f>
        <v>44401</v>
      </c>
      <c r="E525" t="str">
        <f>"ED24E060"</f>
        <v>ED24E060</v>
      </c>
    </row>
    <row r="526" spans="1:5" x14ac:dyDescent="0.25">
      <c r="A526" t="str">
        <f>"308444"</f>
        <v>308444</v>
      </c>
      <c r="B526" s="1" t="str">
        <f>"81983721793"</f>
        <v>81983721793</v>
      </c>
      <c r="C526" t="str">
        <f>"EVERYDAY COUNTER-IN THIS TOGETHER/SUCCULENTS - GREEN SPARKLE PKG/6-J3431"</f>
        <v>EVERYDAY COUNTER-IN THIS TOGETHER/SUCCULENTS - GREEN SPARKLE PKG/6-J3431</v>
      </c>
      <c r="D526" t="str">
        <f>"J3431"</f>
        <v>J3431</v>
      </c>
      <c r="E526" t="str">
        <f>"ED24E061"</f>
        <v>ED24E061</v>
      </c>
    </row>
    <row r="527" spans="1:5" x14ac:dyDescent="0.25">
      <c r="A527" t="str">
        <f>"307906"</f>
        <v>307906</v>
      </c>
      <c r="B527" s="1" t="str">
        <f>"81983612619"</f>
        <v>81983612619</v>
      </c>
      <c r="C527" t="str">
        <f>"EVERYDAY COUNTER-ENC-I CAN RELATE-44153"</f>
        <v>EVERYDAY COUNTER-ENC-I CAN RELATE-44153</v>
      </c>
      <c r="D527" t="str">
        <f>"44153"</f>
        <v>44153</v>
      </c>
      <c r="E527" t="str">
        <f>"ED24E062"</f>
        <v>ED24E062</v>
      </c>
    </row>
    <row r="528" spans="1:5" x14ac:dyDescent="0.25">
      <c r="A528" t="str">
        <f>"345242"</f>
        <v>345242</v>
      </c>
      <c r="B528" s="1" t="str">
        <f>"81983793653"</f>
        <v>81983793653</v>
      </c>
      <c r="C528" t="str">
        <f>"EVERYDAY COUNTER-ENCOURAGEMENT PKG/6-U2581"</f>
        <v>EVERYDAY COUNTER-ENCOURAGEMENT PKG/6-U2581</v>
      </c>
      <c r="D528" t="str">
        <f>"U2581"</f>
        <v>U2581</v>
      </c>
      <c r="E528" t="str">
        <f>"ED24E063"</f>
        <v>ED24E063</v>
      </c>
    </row>
    <row r="529" spans="1:5" x14ac:dyDescent="0.25">
      <c r="A529" t="str">
        <f>"298747"</f>
        <v>298747</v>
      </c>
      <c r="B529" s="1" t="str">
        <f>"81983790676"</f>
        <v>81983790676</v>
      </c>
      <c r="C529" t="str">
        <f>"EVERYDAY COUNTER-ENC-JOB LOSS-11743"</f>
        <v>EVERYDAY COUNTER-ENC-JOB LOSS-11743</v>
      </c>
      <c r="D529" t="str">
        <f>"11743"</f>
        <v>11743</v>
      </c>
      <c r="E529" t="str">
        <f>"ED24E064"</f>
        <v>ED24E064</v>
      </c>
    </row>
    <row r="530" spans="1:5" x14ac:dyDescent="0.25">
      <c r="A530" t="str">
        <f>"298699"</f>
        <v>298699</v>
      </c>
      <c r="B530" s="1" t="str">
        <f>"81983652349"</f>
        <v>81983652349</v>
      </c>
      <c r="C530" t="str">
        <f>"EVERYDAY COUNTER-BABY SPECIAL DAY PKG/6-10277"</f>
        <v>EVERYDAY COUNTER-BABY SPECIAL DAY PKG/6-10277</v>
      </c>
      <c r="D530" t="str">
        <f>"10277"</f>
        <v>10277</v>
      </c>
      <c r="E530" t="str">
        <f>"ED24E065"</f>
        <v>ED24E065</v>
      </c>
    </row>
    <row r="531" spans="1:5" x14ac:dyDescent="0.25">
      <c r="A531" t="str">
        <f>"308262"</f>
        <v>308262</v>
      </c>
      <c r="B531" s="1" t="str">
        <f>"81983679094"</f>
        <v>81983679094</v>
      </c>
      <c r="C531" t="str">
        <f>"EVERYDAY COUNTER-BABY DEDICATION - GN PKG/6-92299"</f>
        <v>EVERYDAY COUNTER-BABY DEDICATION - GN PKG/6-92299</v>
      </c>
      <c r="D531" t="str">
        <f>"92299"</f>
        <v>92299</v>
      </c>
      <c r="E531" t="str">
        <f>"ED24E066"</f>
        <v>ED24E066</v>
      </c>
    </row>
    <row r="532" spans="1:5" x14ac:dyDescent="0.25">
      <c r="A532" t="str">
        <f>"308043"</f>
        <v>308043</v>
      </c>
      <c r="B532" s="1" t="str">
        <f>"81983774324"</f>
        <v>81983774324</v>
      </c>
      <c r="C532" t="str">
        <f>"EVERYDAY COUNTER-COMMUNION-72717"</f>
        <v>EVERYDAY COUNTER-COMMUNION-72717</v>
      </c>
      <c r="D532" t="str">
        <f>"72717"</f>
        <v>72717</v>
      </c>
      <c r="E532" t="str">
        <f>"ED24E067"</f>
        <v>ED24E067</v>
      </c>
    </row>
    <row r="533" spans="1:5" x14ac:dyDescent="0.25">
      <c r="A533" t="str">
        <f>"308038"</f>
        <v>308038</v>
      </c>
      <c r="B533" s="1" t="str">
        <f>"81983643033"</f>
        <v>81983643033</v>
      </c>
      <c r="C533" t="str">
        <f>"EVERYDAY COUNTER-FRIENDSHIP-72708"</f>
        <v>EVERYDAY COUNTER-FRIENDSHIP-72708</v>
      </c>
      <c r="D533" t="str">
        <f>"72708"</f>
        <v>72708</v>
      </c>
      <c r="E533" t="str">
        <f>"ED24E068"</f>
        <v>ED24E068</v>
      </c>
    </row>
    <row r="534" spans="1:5" x14ac:dyDescent="0.25">
      <c r="A534" t="str">
        <f>"307899"</f>
        <v>307899</v>
      </c>
      <c r="B534" s="1" t="str">
        <f>"81983612541"</f>
        <v>81983612541</v>
      </c>
      <c r="C534" t="str">
        <f>"EVERYDAY COUNTER-ENC-SMILE-44145"</f>
        <v>EVERYDAY COUNTER-ENC-SMILE-44145</v>
      </c>
      <c r="D534" t="str">
        <f>"44145"</f>
        <v>44145</v>
      </c>
      <c r="E534" t="str">
        <f>"ED24E069"</f>
        <v>ED24E069</v>
      </c>
    </row>
    <row r="535" spans="1:5" x14ac:dyDescent="0.25">
      <c r="A535" t="str">
        <f>"308054"</f>
        <v>308054</v>
      </c>
      <c r="B535" s="1" t="str">
        <f>"81983643170"</f>
        <v>81983643170</v>
      </c>
      <c r="C535" t="str">
        <f>"EVERYDAY COUNTER-ENCOURAGEMENT-72805"</f>
        <v>EVERYDAY COUNTER-ENCOURAGEMENT-72805</v>
      </c>
      <c r="D535" t="str">
        <f>"72805"</f>
        <v>72805</v>
      </c>
      <c r="E535" t="str">
        <f>"ED24E070"</f>
        <v>ED24E070</v>
      </c>
    </row>
    <row r="536" spans="1:5" x14ac:dyDescent="0.25">
      <c r="A536" t="str">
        <f>"308076"</f>
        <v>308076</v>
      </c>
      <c r="B536" s="1" t="str">
        <f>"81983773419"</f>
        <v>81983773419</v>
      </c>
      <c r="C536" t="str">
        <f>"EVERYDAY COUNTER-ENCOURAGEMENT-72900"</f>
        <v>EVERYDAY COUNTER-ENCOURAGEMENT-72900</v>
      </c>
      <c r="D536" t="str">
        <f>"72900"</f>
        <v>72900</v>
      </c>
      <c r="E536" t="str">
        <f>"ED24E071"</f>
        <v>ED24E071</v>
      </c>
    </row>
    <row r="537" spans="1:5" x14ac:dyDescent="0.25">
      <c r="A537" t="str">
        <f>"308026"</f>
        <v>308026</v>
      </c>
      <c r="B537" s="1" t="str">
        <f>"81983563065"</f>
        <v>81983563065</v>
      </c>
      <c r="C537" t="str">
        <f>"EVERYDAY COUNTER-JOB STRESS ENCOURAGEMENT-66662"</f>
        <v>EVERYDAY COUNTER-JOB STRESS ENCOURAGEMENT-66662</v>
      </c>
      <c r="D537" t="str">
        <f>"66662"</f>
        <v>66662</v>
      </c>
      <c r="E537" t="str">
        <f>"ED24E072"</f>
        <v>ED24E072</v>
      </c>
    </row>
    <row r="538" spans="1:5" x14ac:dyDescent="0.25">
      <c r="A538" t="str">
        <f>"307940"</f>
        <v>307940</v>
      </c>
      <c r="B538" s="1" t="str">
        <f>"81983584398"</f>
        <v>81983584398</v>
      </c>
      <c r="C538" t="str">
        <f>"EVERYDAY COUNTER-AS YOU LEAVE PKG/6-47221"</f>
        <v>EVERYDAY COUNTER-AS YOU LEAVE PKG/6-47221</v>
      </c>
      <c r="D538" t="str">
        <f>"47221"</f>
        <v>47221</v>
      </c>
      <c r="E538" t="str">
        <f>"ED24E073"</f>
        <v>ED24E073</v>
      </c>
    </row>
    <row r="539" spans="1:5" x14ac:dyDescent="0.25">
      <c r="A539" t="str">
        <f>"308041"</f>
        <v>308041</v>
      </c>
      <c r="B539" s="1" t="str">
        <f>"81983643064"</f>
        <v>81983643064</v>
      </c>
      <c r="C539" t="str">
        <f>"EVERYDAY COUNTER-PASTOR RETIREMENT-72714"</f>
        <v>EVERYDAY COUNTER-PASTOR RETIREMENT-72714</v>
      </c>
      <c r="D539" t="str">
        <f>"72714"</f>
        <v>72714</v>
      </c>
      <c r="E539" t="str">
        <f>"ED24E074"</f>
        <v>ED24E074</v>
      </c>
    </row>
    <row r="540" spans="1:5" x14ac:dyDescent="0.25">
      <c r="A540" t="str">
        <f>"307923"</f>
        <v>307923</v>
      </c>
      <c r="B540" s="1" t="str">
        <f>"81983772139"</f>
        <v>81983772139</v>
      </c>
      <c r="C540" t="str">
        <f>"EVERYDAY COUNTER-SPIRITUAL OCC-1ST COMMUNION-J9925"</f>
        <v>EVERYDAY COUNTER-SPIRITUAL OCC-1ST COMMUNION-J9925</v>
      </c>
      <c r="D540" t="str">
        <f>"J9925"</f>
        <v>J9925</v>
      </c>
      <c r="E540" t="str">
        <f>"ED24E075"</f>
        <v>ED24E075</v>
      </c>
    </row>
    <row r="541" spans="1:5" x14ac:dyDescent="0.25">
      <c r="A541" t="str">
        <f>"308243"</f>
        <v>308243</v>
      </c>
      <c r="B541" s="1" t="str">
        <f>"81983678868"</f>
        <v>81983678868</v>
      </c>
      <c r="C541" t="str">
        <f>"EVERYDAY COUNTER-FRIENDSHIP PKG/6-92183"</f>
        <v>EVERYDAY COUNTER-FRIENDSHIP PKG/6-92183</v>
      </c>
      <c r="D541" t="str">
        <f>"92183"</f>
        <v>92183</v>
      </c>
      <c r="E541" t="str">
        <f>"ED24E076"</f>
        <v>ED24E076</v>
      </c>
    </row>
    <row r="542" spans="1:5" x14ac:dyDescent="0.25">
      <c r="A542" t="str">
        <f>"307976"</f>
        <v>307976</v>
      </c>
      <c r="B542" s="1" t="str">
        <f>"81983618727"</f>
        <v>81983618727</v>
      </c>
      <c r="C542" t="str">
        <f>"EVERYDAY COUNTER-ENC-SMILE-55205"</f>
        <v>EVERYDAY COUNTER-ENC-SMILE-55205</v>
      </c>
      <c r="D542" t="str">
        <f>"55205"</f>
        <v>55205</v>
      </c>
      <c r="E542" t="str">
        <f>"ED24E077"</f>
        <v>ED24E077</v>
      </c>
    </row>
    <row r="543" spans="1:5" x14ac:dyDescent="0.25">
      <c r="A543" t="str">
        <f>"307977"</f>
        <v>307977</v>
      </c>
      <c r="B543" s="1" t="str">
        <f>"81983771873"</f>
        <v>81983771873</v>
      </c>
      <c r="C543" t="str">
        <f>"EVERYDAY COUNTER-ENC-FOR ANYONE (Pk/6)-J9899"</f>
        <v>EVERYDAY COUNTER-ENC-FOR ANYONE (Pk/6)-J9899</v>
      </c>
      <c r="D543" t="str">
        <f>"J9899"</f>
        <v>J9899</v>
      </c>
      <c r="E543" t="str">
        <f>"ED24E078"</f>
        <v>ED24E078</v>
      </c>
    </row>
    <row r="544" spans="1:5" x14ac:dyDescent="0.25">
      <c r="A544" t="str">
        <f>"345241"</f>
        <v>345241</v>
      </c>
      <c r="B544" s="1" t="str">
        <f>"81983793646"</f>
        <v>81983793646</v>
      </c>
      <c r="C544" t="str">
        <f>"EVERYDAY COUNTER-ENCOURAGEMENT PKG/6-U2580"</f>
        <v>EVERYDAY COUNTER-ENCOURAGEMENT PKG/6-U2580</v>
      </c>
      <c r="D544" t="str">
        <f>"U2580"</f>
        <v>U2580</v>
      </c>
      <c r="E544" t="str">
        <f>"ED24E079"</f>
        <v>ED24E079</v>
      </c>
    </row>
    <row r="545" spans="1:5" x14ac:dyDescent="0.25">
      <c r="A545" t="str">
        <f>"308441"</f>
        <v>308441</v>
      </c>
      <c r="B545" s="1" t="str">
        <f>"81983721731"</f>
        <v>81983721731</v>
      </c>
      <c r="C545" t="str">
        <f>"EVERYDAY COUNTER-ENC- COPING WITH CANCER/GOD KNOWS PKG/6-J3425"</f>
        <v>EVERYDAY COUNTER-ENC- COPING WITH CANCER/GOD KNOWS PKG/6-J3425</v>
      </c>
      <c r="D545" t="str">
        <f>"J3425"</f>
        <v>J3425</v>
      </c>
      <c r="E545" t="str">
        <f>"ED24E080"</f>
        <v>ED24E080</v>
      </c>
    </row>
    <row r="546" spans="1:5" x14ac:dyDescent="0.25">
      <c r="A546" t="str">
        <f>"279604"</f>
        <v>279604</v>
      </c>
      <c r="B546" s="1" t="str">
        <f>"81983757518"</f>
        <v>81983757518</v>
      </c>
      <c r="C546" t="str">
        <f>"EVERYDAY COUNTER-SPEC OCC - AS YOU LEAVE PKG/6-J8199"</f>
        <v>EVERYDAY COUNTER-SPEC OCC - AS YOU LEAVE PKG/6-J8199</v>
      </c>
      <c r="D546" t="str">
        <f>"J8199"</f>
        <v>J8199</v>
      </c>
      <c r="E546" t="str">
        <f>"ED24E081"</f>
        <v>ED24E081</v>
      </c>
    </row>
    <row r="547" spans="1:5" x14ac:dyDescent="0.25">
      <c r="A547" t="str">
        <f>"345254"</f>
        <v>345254</v>
      </c>
      <c r="B547" s="1" t="str">
        <f>"81983793752"</f>
        <v>81983793752</v>
      </c>
      <c r="C547" t="str">
        <f>"EVERYDAY COUNTER-RETIREMENT/MASCULINE PKG/6"</f>
        <v>EVERYDAY COUNTER-RETIREMENT/MASCULINE PKG/6</v>
      </c>
      <c r="D547" t="str">
        <f>"U2591"</f>
        <v>U2591</v>
      </c>
      <c r="E547" t="str">
        <f>"ED24E082"</f>
        <v>ED24E082</v>
      </c>
    </row>
    <row r="548" spans="1:5" x14ac:dyDescent="0.25">
      <c r="A548" t="str">
        <f>"298717"</f>
        <v>298717</v>
      </c>
      <c r="B548" s="1" t="str">
        <f>"81983678257"</f>
        <v>81983678257</v>
      </c>
      <c r="C548" t="str">
        <f>"EVERYDAY COUNTER-SPIRIT OCC-ORDINATION-11501"</f>
        <v>EVERYDAY COUNTER-SPIRIT OCC-ORDINATION-11501</v>
      </c>
      <c r="D548" t="str">
        <f>"11501"</f>
        <v>11501</v>
      </c>
      <c r="E548" t="str">
        <f>"ED24E083"</f>
        <v>ED24E083</v>
      </c>
    </row>
    <row r="549" spans="1:5" x14ac:dyDescent="0.25">
      <c r="A549" t="str">
        <f>"307964"</f>
        <v>307964</v>
      </c>
      <c r="B549" s="1" t="str">
        <f>"81983618475"</f>
        <v>81983618475</v>
      </c>
      <c r="C549" t="str">
        <f>"EVERYDAY COUNTER-FRIENDSHIP - ANYONE-55105"</f>
        <v>EVERYDAY COUNTER-FRIENDSHIP - ANYONE-55105</v>
      </c>
      <c r="D549" t="str">
        <f>"55105"</f>
        <v>55105</v>
      </c>
      <c r="E549" t="str">
        <f>"ED24E084"</f>
        <v>ED24E084</v>
      </c>
    </row>
    <row r="550" spans="1:5" x14ac:dyDescent="0.25">
      <c r="A550" t="str">
        <f>"279590"</f>
        <v>279590</v>
      </c>
      <c r="B550" s="1" t="str">
        <f>"81983757419"</f>
        <v>81983757419</v>
      </c>
      <c r="C550" t="str">
        <f>"EVERYDAY COUNTER-ENCOURAGEMENT - SMILE PKG/6-J8189"</f>
        <v>EVERYDAY COUNTER-ENCOURAGEMENT - SMILE PKG/6-J8189</v>
      </c>
      <c r="D550" t="str">
        <f>"J8189"</f>
        <v>J8189</v>
      </c>
      <c r="E550" t="str">
        <f>"ED24E085"</f>
        <v>ED24E085</v>
      </c>
    </row>
    <row r="551" spans="1:5" x14ac:dyDescent="0.25">
      <c r="A551" t="str">
        <f>"307953"</f>
        <v>307953</v>
      </c>
      <c r="B551" s="1" t="str">
        <f>"81983618154"</f>
        <v>81983618154</v>
      </c>
      <c r="C551" t="str">
        <f>"EVERYDAY COUNTER-ENCOURAGEMENT - ANYONE-52030"</f>
        <v>EVERYDAY COUNTER-ENCOURAGEMENT - ANYONE-52030</v>
      </c>
      <c r="D551" t="str">
        <f>"52030"</f>
        <v>52030</v>
      </c>
      <c r="E551" t="str">
        <f>"ED24E086"</f>
        <v>ED24E086</v>
      </c>
    </row>
    <row r="552" spans="1:5" x14ac:dyDescent="0.25">
      <c r="A552" t="str">
        <f>"308050"</f>
        <v>308050</v>
      </c>
      <c r="B552" s="1" t="str">
        <f>"81983773396"</f>
        <v>81983773396</v>
      </c>
      <c r="C552" t="str">
        <f>"EVERYDAY COUNTER-ENCOURAGEMENT-72802"</f>
        <v>EVERYDAY COUNTER-ENCOURAGEMENT-72802</v>
      </c>
      <c r="D552" t="str">
        <f>"72802"</f>
        <v>72802</v>
      </c>
      <c r="E552" t="str">
        <f>"ED24E087"</f>
        <v>ED24E087</v>
      </c>
    </row>
    <row r="553" spans="1:5" x14ac:dyDescent="0.25">
      <c r="A553" t="str">
        <f>"308268"</f>
        <v>308268</v>
      </c>
      <c r="B553" s="1" t="str">
        <f>"81983612787"</f>
        <v>81983612787</v>
      </c>
      <c r="C553" t="str">
        <f>"EVERYDAY COUNTER-ENC-MAKE A DIFFERENCE-44423"</f>
        <v>EVERYDAY COUNTER-ENC-MAKE A DIFFERENCE-44423</v>
      </c>
      <c r="D553" t="str">
        <f>"44423"</f>
        <v>44423</v>
      </c>
      <c r="E553" t="str">
        <f>"ED24E088"</f>
        <v>ED24E088</v>
      </c>
    </row>
    <row r="554" spans="1:5" x14ac:dyDescent="0.25">
      <c r="A554" t="str">
        <f>"345240"</f>
        <v>345240</v>
      </c>
      <c r="B554" s="1" t="str">
        <f>"81983793639"</f>
        <v>81983793639</v>
      </c>
      <c r="C554" t="str">
        <f>"EVERYDAY COUNTER-ENCOURAGEMENT CANCER PKG/6"</f>
        <v>EVERYDAY COUNTER-ENCOURAGEMENT CANCER PKG/6</v>
      </c>
      <c r="D554" t="str">
        <f>"U2579"</f>
        <v>U2579</v>
      </c>
      <c r="E554" t="str">
        <f>"ED24E089"</f>
        <v>ED24E089</v>
      </c>
    </row>
    <row r="555" spans="1:5" x14ac:dyDescent="0.25">
      <c r="A555" t="str">
        <f>"308464"</f>
        <v>308464</v>
      </c>
      <c r="B555" s="1" t="str">
        <f>"81983721960"</f>
        <v>81983721960</v>
      </c>
      <c r="C555" t="str">
        <f>"EVERYDAY COUNTER-AS YOU LEAVE/BUTTERFLY AND FLOWERS PKG/6-J3448"</f>
        <v>EVERYDAY COUNTER-AS YOU LEAVE/BUTTERFLY AND FLOWERS PKG/6-J3448</v>
      </c>
      <c r="D555" t="str">
        <f>"J3448"</f>
        <v>J3448</v>
      </c>
      <c r="E555" t="str">
        <f>"ED24E090"</f>
        <v>ED24E090</v>
      </c>
    </row>
    <row r="556" spans="1:5" x14ac:dyDescent="0.25">
      <c r="A556" t="str">
        <f>"279607"</f>
        <v>279607</v>
      </c>
      <c r="B556" s="1" t="str">
        <f>"81983774270"</f>
        <v>81983774270</v>
      </c>
      <c r="C556" t="str">
        <f>"EVERYDAY COUNTER-SPECIAL OCC-RETIREMENT PKG/6-J8201"</f>
        <v>EVERYDAY COUNTER-SPECIAL OCC-RETIREMENT PKG/6-J8201</v>
      </c>
      <c r="D556" t="str">
        <f>"J8201"</f>
        <v>J8201</v>
      </c>
      <c r="E556" t="str">
        <f>"ED24E091"</f>
        <v>ED24E091</v>
      </c>
    </row>
    <row r="557" spans="1:5" x14ac:dyDescent="0.25">
      <c r="A557" t="str">
        <f>"307946"</f>
        <v>307946</v>
      </c>
      <c r="B557" s="1" t="str">
        <f>"81983772146"</f>
        <v>81983772146</v>
      </c>
      <c r="C557" t="str">
        <f>"EVERYDAY COUNTER-ORDINATION-J9926"</f>
        <v>EVERYDAY COUNTER-ORDINATION-J9926</v>
      </c>
      <c r="D557" t="str">
        <f>"J9926"</f>
        <v>J9926</v>
      </c>
      <c r="E557" t="str">
        <f>"ED24E092"</f>
        <v>ED24E092</v>
      </c>
    </row>
    <row r="558" spans="1:5" x14ac:dyDescent="0.25">
      <c r="A558" t="str">
        <f>"345243"</f>
        <v>345243</v>
      </c>
      <c r="B558" s="1" t="str">
        <f>"81983793660"</f>
        <v>81983793660</v>
      </c>
      <c r="C558" t="str">
        <f>"EVERYDAY COUNTER-FRIENDSHIP PKG/6-U2582"</f>
        <v>EVERYDAY COUNTER-FRIENDSHIP PKG/6-U2582</v>
      </c>
      <c r="D558" t="str">
        <f>"U2582"</f>
        <v>U2582</v>
      </c>
      <c r="E558" t="str">
        <f>"ED24E093"</f>
        <v>ED24E093</v>
      </c>
    </row>
    <row r="559" spans="1:5" x14ac:dyDescent="0.25">
      <c r="A559" t="str">
        <f>"308214"</f>
        <v>308214</v>
      </c>
      <c r="B559" s="1" t="str">
        <f>"81983677366"</f>
        <v>81983677366</v>
      </c>
      <c r="C559" t="str">
        <f>"EVERYDAY COUNTER-FRIENDSHIP-MISS YOU PKG/6-91993"</f>
        <v>EVERYDAY COUNTER-FRIENDSHIP-MISS YOU PKG/6-91993</v>
      </c>
      <c r="D559" t="str">
        <f>"91993"</f>
        <v>91993</v>
      </c>
      <c r="E559" t="str">
        <f>"ED24E094"</f>
        <v>ED24E094</v>
      </c>
    </row>
    <row r="560" spans="1:5" x14ac:dyDescent="0.25">
      <c r="A560" t="str">
        <f>"307916"</f>
        <v>307916</v>
      </c>
      <c r="B560" s="1" t="str">
        <f>"81983612725"</f>
        <v>81983612725</v>
      </c>
      <c r="C560" t="str">
        <f>"EVERYDAY COUNTER-ENCOURAGEMENT - ANYONE-44416"</f>
        <v>EVERYDAY COUNTER-ENCOURAGEMENT - ANYONE-44416</v>
      </c>
      <c r="D560" t="str">
        <f>"44416"</f>
        <v>44416</v>
      </c>
      <c r="E560" t="str">
        <f>"ED24E095"</f>
        <v>ED24E095</v>
      </c>
    </row>
    <row r="561" spans="1:5" x14ac:dyDescent="0.25">
      <c r="A561" t="str">
        <f>"308055"</f>
        <v>308055</v>
      </c>
      <c r="B561" s="1" t="str">
        <f>"81983643187"</f>
        <v>81983643187</v>
      </c>
      <c r="C561" t="str">
        <f>"EVERYDAY COUNTER-ENCOURAGEMENT-72806"</f>
        <v>EVERYDAY COUNTER-ENCOURAGEMENT-72806</v>
      </c>
      <c r="D561" t="str">
        <f>"72806"</f>
        <v>72806</v>
      </c>
      <c r="E561" t="str">
        <f>"ED24E096"</f>
        <v>ED24E096</v>
      </c>
    </row>
    <row r="562" spans="1:5" x14ac:dyDescent="0.25">
      <c r="A562" t="str">
        <f>"307986"</f>
        <v>307986</v>
      </c>
      <c r="B562" s="1" t="str">
        <f>"81983771934"</f>
        <v>81983771934</v>
      </c>
      <c r="C562" t="str">
        <f>"EVERYDAY COUNTER-ENC-YOU MAKE A DIFFERENCE-J9905"</f>
        <v>EVERYDAY COUNTER-ENC-YOU MAKE A DIFFERENCE-J9905</v>
      </c>
      <c r="D562" t="str">
        <f>"J9905"</f>
        <v>J9905</v>
      </c>
      <c r="E562" t="str">
        <f>"ED24E097"</f>
        <v>ED24E097</v>
      </c>
    </row>
    <row r="563" spans="1:5" x14ac:dyDescent="0.25">
      <c r="A563" t="str">
        <f>"307934"</f>
        <v>307934</v>
      </c>
      <c r="B563" s="1" t="str">
        <f>"81983771835"</f>
        <v>81983771835</v>
      </c>
      <c r="C563" t="str">
        <f>"EVERYDAY COUNTER-CANCER - GENDER NEUTRAL-J9895"</f>
        <v>EVERYDAY COUNTER-CANCER - GENDER NEUTRAL-J9895</v>
      </c>
      <c r="D563" t="str">
        <f>"J9895"</f>
        <v>J9895</v>
      </c>
      <c r="E563" t="str">
        <f>"ED24E098"</f>
        <v>ED24E098</v>
      </c>
    </row>
    <row r="564" spans="1:5" x14ac:dyDescent="0.25">
      <c r="A564" t="str">
        <f>"279605"</f>
        <v>279605</v>
      </c>
      <c r="B564" s="1" t="str">
        <f>"81983757525"</f>
        <v>81983757525</v>
      </c>
      <c r="C564" t="str">
        <f>"EVERYDAY COUNTER-SPECIAL OCC-AS YOU MOVE PKG/6-J8200"</f>
        <v>EVERYDAY COUNTER-SPECIAL OCC-AS YOU MOVE PKG/6-J8200</v>
      </c>
      <c r="D564" t="str">
        <f>"J8200"</f>
        <v>J8200</v>
      </c>
      <c r="E564" t="str">
        <f>"ED24E099"</f>
        <v>ED24E099</v>
      </c>
    </row>
    <row r="565" spans="1:5" x14ac:dyDescent="0.25">
      <c r="A565" t="str">
        <f>"308002"</f>
        <v>308002</v>
      </c>
      <c r="B565" s="1" t="str">
        <f>"81983772078"</f>
        <v>81983772078</v>
      </c>
      <c r="C565" t="str">
        <f>"EVERYDAY COUNTER-SPECIAL OCCASION-RETIREMENT-J9919"</f>
        <v>EVERYDAY COUNTER-SPECIAL OCCASION-RETIREMENT-J9919</v>
      </c>
      <c r="D565" t="str">
        <f>"J9919"</f>
        <v>J9919</v>
      </c>
      <c r="E565" t="str">
        <f>"ED24E100"</f>
        <v>ED24E100</v>
      </c>
    </row>
    <row r="566" spans="1:5" x14ac:dyDescent="0.25">
      <c r="A566" t="str">
        <f>"308486"</f>
        <v>308486</v>
      </c>
      <c r="B566" s="1" t="str">
        <f>"81983722288"</f>
        <v>81983722288</v>
      </c>
      <c r="C566" t="str">
        <f>"EVERYDAY COUNTER-WITNESS/TABLE AND CHAIRS PKG/6-J3480"</f>
        <v>EVERYDAY COUNTER-WITNESS/TABLE AND CHAIRS PKG/6-J3480</v>
      </c>
      <c r="D566" t="str">
        <f>"J3480"</f>
        <v>J3480</v>
      </c>
      <c r="E566" t="str">
        <f>"ED24E101"</f>
        <v>ED24E101</v>
      </c>
    </row>
    <row r="567" spans="1:5" x14ac:dyDescent="0.25">
      <c r="A567" t="str">
        <f>"308039"</f>
        <v>308039</v>
      </c>
      <c r="B567" s="1" t="str">
        <f>"81983643057"</f>
        <v>81983643057</v>
      </c>
      <c r="C567" t="str">
        <f>"EVERYDAY COUNTER-FRIENDSHIP-72713"</f>
        <v>EVERYDAY COUNTER-FRIENDSHIP-72713</v>
      </c>
      <c r="D567" t="str">
        <f>"72713"</f>
        <v>72713</v>
      </c>
      <c r="E567" t="str">
        <f>"ED24E102"</f>
        <v>ED24E102</v>
      </c>
    </row>
    <row r="568" spans="1:5" x14ac:dyDescent="0.25">
      <c r="A568" t="str">
        <f>"307910"</f>
        <v>307910</v>
      </c>
      <c r="B568" s="1" t="str">
        <f>"81983771972"</f>
        <v>81983771972</v>
      </c>
      <c r="C568" t="str">
        <f>"EVERYDAY COUNTER-FRIENDSHIP-FOR ANYONE-J9909"</f>
        <v>EVERYDAY COUNTER-FRIENDSHIP-FOR ANYONE-J9909</v>
      </c>
      <c r="D568" t="str">
        <f>"J9909"</f>
        <v>J9909</v>
      </c>
      <c r="E568" t="str">
        <f>"ED24E103"</f>
        <v>ED24E103</v>
      </c>
    </row>
    <row r="569" spans="1:5" x14ac:dyDescent="0.25">
      <c r="A569" t="str">
        <f>"307992"</f>
        <v>307992</v>
      </c>
      <c r="B569" s="1" t="str">
        <f>"81983618901"</f>
        <v>81983618901</v>
      </c>
      <c r="C569" t="str">
        <f>"EVERYDAY COUNTER-FRIENDSHIP-GOODBYE-55607"</f>
        <v>EVERYDAY COUNTER-FRIENDSHIP-GOODBYE-55607</v>
      </c>
      <c r="D569" t="str">
        <f>"55607"</f>
        <v>55607</v>
      </c>
      <c r="E569" t="str">
        <f>"ED24E104"</f>
        <v>ED24E104</v>
      </c>
    </row>
    <row r="570" spans="1:5" x14ac:dyDescent="0.25">
      <c r="A570" t="str">
        <f>"298752"</f>
        <v>298752</v>
      </c>
      <c r="B570" s="1" t="str">
        <f>"81983788727"</f>
        <v>81983788727</v>
      </c>
      <c r="C570" t="str">
        <f>"EVERYDAY COUNTER-ENC-CAREGIVERS-11750"</f>
        <v>EVERYDAY COUNTER-ENC-CAREGIVERS-11750</v>
      </c>
      <c r="D570" t="str">
        <f>"11750"</f>
        <v>11750</v>
      </c>
      <c r="E570" t="str">
        <f>"ED24E105"</f>
        <v>ED24E105</v>
      </c>
    </row>
    <row r="571" spans="1:5" x14ac:dyDescent="0.25">
      <c r="A571" t="str">
        <f>"307902"</f>
        <v>307902</v>
      </c>
      <c r="B571" s="1" t="str">
        <f>"81983771941"</f>
        <v>81983771941</v>
      </c>
      <c r="C571" t="str">
        <f>"EVERYDAY COUNTER-ENC-MAKE A DIFF-J9906"</f>
        <v>EVERYDAY COUNTER-ENC-MAKE A DIFF-J9906</v>
      </c>
      <c r="D571" t="str">
        <f>"J9906"</f>
        <v>J9906</v>
      </c>
      <c r="E571" t="str">
        <f>"ED24E106"</f>
        <v>ED24E106</v>
      </c>
    </row>
    <row r="572" spans="1:5" x14ac:dyDescent="0.25">
      <c r="A572" t="str">
        <f>"308267"</f>
        <v>308267</v>
      </c>
      <c r="B572" s="1" t="str">
        <f>"81983612589"</f>
        <v>81983612589</v>
      </c>
      <c r="C572" t="str">
        <f>"EVERYDAY COUNTER-ENC-SERIOUS ILLNESS-44149"</f>
        <v>EVERYDAY COUNTER-ENC-SERIOUS ILLNESS-44149</v>
      </c>
      <c r="D572" t="str">
        <f>"44149"</f>
        <v>44149</v>
      </c>
      <c r="E572" t="str">
        <f>"ED24E107"</f>
        <v>ED24E107</v>
      </c>
    </row>
    <row r="573" spans="1:5" x14ac:dyDescent="0.25">
      <c r="A573" t="str">
        <f>"308088"</f>
        <v>308088</v>
      </c>
      <c r="B573" s="1" t="str">
        <f>"81983772054"</f>
        <v>81983772054</v>
      </c>
      <c r="C573" t="str">
        <f>"EVERYDAY COUNTER-AS YOU MOVE PKG/6-J9917"</f>
        <v>EVERYDAY COUNTER-AS YOU MOVE PKG/6-J9917</v>
      </c>
      <c r="D573" t="str">
        <f>"J9917"</f>
        <v>J9917</v>
      </c>
      <c r="E573" t="str">
        <f>"ED24E108"</f>
        <v>ED24E108</v>
      </c>
    </row>
    <row r="574" spans="1:5" x14ac:dyDescent="0.25">
      <c r="A574" t="str">
        <f>"308091"</f>
        <v>308091</v>
      </c>
      <c r="B574" s="1" t="str">
        <f>"81983772122"</f>
        <v>81983772122</v>
      </c>
      <c r="C574" t="str">
        <f>"EVERYDAY COUNTER-CHURCH FAMILY WELCOME-J9924"</f>
        <v>EVERYDAY COUNTER-CHURCH FAMILY WELCOME-J9924</v>
      </c>
      <c r="D574" t="str">
        <f>"J9924"</f>
        <v>J9924</v>
      </c>
      <c r="E574" t="str">
        <f>"ED24E109"</f>
        <v>ED24E109</v>
      </c>
    </row>
    <row r="575" spans="1:5" x14ac:dyDescent="0.25">
      <c r="A575" t="str">
        <f>"308093"</f>
        <v>308093</v>
      </c>
      <c r="B575" s="1" t="str">
        <f>"81983567940"</f>
        <v>81983567940</v>
      </c>
      <c r="C575" t="str">
        <f>"EVERYDAY COUNTER-WITNESS-75324"</f>
        <v>EVERYDAY COUNTER-WITNESS-75324</v>
      </c>
      <c r="D575" t="str">
        <f>"75324"</f>
        <v>75324</v>
      </c>
      <c r="E575" t="str">
        <f>"ED24E110"</f>
        <v>ED24E110</v>
      </c>
    </row>
    <row r="576" spans="1:5" x14ac:dyDescent="0.25">
      <c r="A576" t="str">
        <f>"308092"</f>
        <v>308092</v>
      </c>
      <c r="B576" s="1" t="str">
        <f>"81983567933"</f>
        <v>81983567933</v>
      </c>
      <c r="C576" t="str">
        <f>"EVERYDAY COUNTER-JUBILEE-75322"</f>
        <v>EVERYDAY COUNTER-JUBILEE-75322</v>
      </c>
      <c r="D576" t="str">
        <f>"75322"</f>
        <v>75322</v>
      </c>
      <c r="E576" t="str">
        <f>"ED24E111"</f>
        <v>ED24E111</v>
      </c>
    </row>
    <row r="577" spans="1:5" x14ac:dyDescent="0.25">
      <c r="A577" t="str">
        <f>"298765"</f>
        <v>298765</v>
      </c>
      <c r="B577" s="1" t="str">
        <f>"81983771989"</f>
        <v>81983771989</v>
      </c>
      <c r="C577" t="str">
        <f>"EVERYDAY COUNTER-FRIENDSHIP-TOY-J9910"</f>
        <v>EVERYDAY COUNTER-FRIENDSHIP-TOY-J9910</v>
      </c>
      <c r="D577" t="str">
        <f>"J9910"</f>
        <v>J9910</v>
      </c>
      <c r="E577" t="str">
        <f>"ED24E112"</f>
        <v>ED24E112</v>
      </c>
    </row>
    <row r="578" spans="1:5" x14ac:dyDescent="0.25">
      <c r="A578" t="str">
        <f>"308215"</f>
        <v>308215</v>
      </c>
      <c r="B578" s="1" t="str">
        <f>"81983677373"</f>
        <v>81983677373</v>
      </c>
      <c r="C578" t="str">
        <f>"EVERYDAY COUNTER-FRIENDSHIP-GOODBYE PKG/6-91994"</f>
        <v>EVERYDAY COUNTER-FRIENDSHIP-GOODBYE PKG/6-91994</v>
      </c>
      <c r="D578" t="str">
        <f>"91994"</f>
        <v>91994</v>
      </c>
      <c r="E578" t="str">
        <f>"ED24E113"</f>
        <v>ED24E113</v>
      </c>
    </row>
    <row r="579" spans="1:5" x14ac:dyDescent="0.25">
      <c r="A579" t="str">
        <f>"279581"</f>
        <v>279581</v>
      </c>
      <c r="B579" s="1" t="str">
        <f>"81983773372"</f>
        <v>81983773372</v>
      </c>
      <c r="C579" t="str">
        <f>"EVERYDAY COUNTER-ENCOURAGEMENT - CAREGIVER PKG/6-J8181"</f>
        <v>EVERYDAY COUNTER-ENCOURAGEMENT - CAREGIVER PKG/6-J8181</v>
      </c>
      <c r="D579" t="str">
        <f>"J8181"</f>
        <v>J8181</v>
      </c>
      <c r="E579" t="str">
        <f>"ED24E114"</f>
        <v>ED24E114</v>
      </c>
    </row>
    <row r="580" spans="1:5" x14ac:dyDescent="0.25">
      <c r="A580" t="str">
        <f>"307980"</f>
        <v>307980</v>
      </c>
      <c r="B580" s="1" t="str">
        <f>"81983618789"</f>
        <v>81983618789</v>
      </c>
      <c r="C580" t="str">
        <f>"EVERYDAY COUNTER-ENC-YOU MAKE A DIFFERENCE-55403"</f>
        <v>EVERYDAY COUNTER-ENC-YOU MAKE A DIFFERENCE-55403</v>
      </c>
      <c r="D580" t="str">
        <f>"55403"</f>
        <v>55403</v>
      </c>
      <c r="E580" t="str">
        <f>"ED24E115"</f>
        <v>ED24E115</v>
      </c>
    </row>
    <row r="581" spans="1:5" x14ac:dyDescent="0.25">
      <c r="A581" t="str">
        <f>"279589"</f>
        <v>279589</v>
      </c>
      <c r="B581" s="1" t="str">
        <f>"81983757402"</f>
        <v>81983757402</v>
      </c>
      <c r="C581" t="str">
        <f>"EVERYDAY COUNTER-ENCOURAGEMENT - SERIOUS ILLNES PKG/6-J8188"</f>
        <v>EVERYDAY COUNTER-ENCOURAGEMENT - SERIOUS ILLNES PKG/6-J8188</v>
      </c>
      <c r="D581" t="str">
        <f>"J8188"</f>
        <v>J8188</v>
      </c>
      <c r="E581" t="str">
        <f>"ED24E116"</f>
        <v>ED24E116</v>
      </c>
    </row>
    <row r="582" spans="1:5" x14ac:dyDescent="0.25">
      <c r="A582" t="str">
        <f>"279583"</f>
        <v>279583</v>
      </c>
      <c r="B582" s="1" t="str">
        <f>"81983757358"</f>
        <v>81983757358</v>
      </c>
      <c r="C582" t="str">
        <f>"EVERYDAY COUNTER-ENCOURAGEMENT - DIFFICULT TIME PKG/6-J8183"</f>
        <v>EVERYDAY COUNTER-ENCOURAGEMENT - DIFFICULT TIME PKG/6-J8183</v>
      </c>
      <c r="D582" t="str">
        <f>"J8183"</f>
        <v>J8183</v>
      </c>
      <c r="E582" t="str">
        <f>"ED24F001"</f>
        <v>ED24F001</v>
      </c>
    </row>
    <row r="583" spans="1:5" x14ac:dyDescent="0.25">
      <c r="A583" t="str">
        <f>"308463"</f>
        <v>308463</v>
      </c>
      <c r="B583" s="1" t="str">
        <f>"81983721953"</f>
        <v>81983721953</v>
      </c>
      <c r="C583" t="str">
        <f>"EVERYDAY COUNTER-PRAYING FOR YOU/BUT THIS MUCH WE KNOW PKG/6-J3447"</f>
        <v>EVERYDAY COUNTER-PRAYING FOR YOU/BUT THIS MUCH WE KNOW PKG/6-J3447</v>
      </c>
      <c r="D583" t="str">
        <f>"J3447"</f>
        <v>J3447</v>
      </c>
      <c r="E583" t="str">
        <f>"ED24F002"</f>
        <v>ED24F002</v>
      </c>
    </row>
    <row r="584" spans="1:5" x14ac:dyDescent="0.25">
      <c r="A584" t="str">
        <f>"298719"</f>
        <v>298719</v>
      </c>
      <c r="B584" s="1" t="str">
        <f>"81983771996"</f>
        <v>81983771996</v>
      </c>
      <c r="C584" t="str">
        <f>"EVERYDAY COUNTER-GET WELL-CHILD-J9911"</f>
        <v>EVERYDAY COUNTER-GET WELL-CHILD-J9911</v>
      </c>
      <c r="D584" t="str">
        <f>"J9911"</f>
        <v>J9911</v>
      </c>
      <c r="E584" t="str">
        <f>"ED24F003"</f>
        <v>ED24F003</v>
      </c>
    </row>
    <row r="585" spans="1:5" x14ac:dyDescent="0.25">
      <c r="A585" t="str">
        <f>"308432"</f>
        <v>308432</v>
      </c>
      <c r="B585" s="1" t="str">
        <f>"81983720574"</f>
        <v>81983720574</v>
      </c>
      <c r="C585" t="str">
        <f>"EVERYDAY COUNTER-HL - SYMPATHY/CACTUS PKG/6-J3303"</f>
        <v>EVERYDAY COUNTER-HL - SYMPATHY/CACTUS PKG/6-J3303</v>
      </c>
      <c r="D585" t="str">
        <f>"J3303"</f>
        <v>J3303</v>
      </c>
      <c r="E585" t="str">
        <f>"ED24F004"</f>
        <v>ED24F004</v>
      </c>
    </row>
    <row r="586" spans="1:5" x14ac:dyDescent="0.25">
      <c r="A586" t="str">
        <f>"308427"</f>
        <v>308427</v>
      </c>
      <c r="B586" s="1" t="str">
        <f>"81983720529"</f>
        <v>81983720529</v>
      </c>
      <c r="C586" t="str">
        <f>"EVERYDAY COUNTER-HL - SYMPATHY LOSS OF MOM/PURPLE FLOWERS PKG/6-J3298"</f>
        <v>EVERYDAY COUNTER-HL - SYMPATHY LOSS OF MOM/PURPLE FLOWERS PKG/6-J3298</v>
      </c>
      <c r="D586" t="str">
        <f>"J3298"</f>
        <v>J3298</v>
      </c>
      <c r="E586" t="str">
        <f>"ED24F005"</f>
        <v>ED24F005</v>
      </c>
    </row>
    <row r="587" spans="1:5" x14ac:dyDescent="0.25">
      <c r="A587" t="str">
        <f>"308080"</f>
        <v>308080</v>
      </c>
      <c r="B587" s="1" t="str">
        <f>"81983772153"</f>
        <v>81983772153</v>
      </c>
      <c r="C587" t="str">
        <f>"EVERYDAY COUNTER-SYMPATHY (PACK OF 6)-J9927"</f>
        <v>EVERYDAY COUNTER-SYMPATHY (PACK OF 6)-J9927</v>
      </c>
      <c r="D587" t="str">
        <f>"J9927"</f>
        <v>J9927</v>
      </c>
      <c r="E587" t="str">
        <f>"ED24F006"</f>
        <v>ED24F006</v>
      </c>
    </row>
    <row r="588" spans="1:5" x14ac:dyDescent="0.25">
      <c r="A588" t="str">
        <f>"345260"</f>
        <v>345260</v>
      </c>
      <c r="B588" s="1" t="str">
        <f>"81983793790"</f>
        <v>81983793790</v>
      </c>
      <c r="C588" t="str">
        <f>"EVERYDAY COUNTER-SYMPATHY PKG/6-U2595"</f>
        <v>EVERYDAY COUNTER-SYMPATHY PKG/6-U2595</v>
      </c>
      <c r="D588" t="str">
        <f>"U2595"</f>
        <v>U2595</v>
      </c>
      <c r="E588" t="str">
        <f>"ED24F007"</f>
        <v>ED24F007</v>
      </c>
    </row>
    <row r="589" spans="1:5" x14ac:dyDescent="0.25">
      <c r="A589" t="str">
        <f>"298812"</f>
        <v>298812</v>
      </c>
      <c r="B589" s="1" t="str">
        <f>"81983603075"</f>
        <v>81983603075</v>
      </c>
      <c r="C589" t="str">
        <f>"EVERYDAY COUNTER-SYMPATHY - LOSS OF MOM-43989"</f>
        <v>EVERYDAY COUNTER-SYMPATHY - LOSS OF MOM-43989</v>
      </c>
      <c r="D589" t="str">
        <f>"43989"</f>
        <v>43989</v>
      </c>
      <c r="E589" t="str">
        <f>"ED24F008"</f>
        <v>ED24F008</v>
      </c>
    </row>
    <row r="590" spans="1:5" x14ac:dyDescent="0.25">
      <c r="A590" t="str">
        <f>"298684"</f>
        <v>298684</v>
      </c>
      <c r="B590" s="1" t="str">
        <f>"81983652066"</f>
        <v>81983652066</v>
      </c>
      <c r="C590" t="str">
        <f>"EVERYDAY COUNTER-ENC DIFFICULT TIME PKG/6-10255"</f>
        <v>EVERYDAY COUNTER-ENC DIFFICULT TIME PKG/6-10255</v>
      </c>
      <c r="D590" t="str">
        <f>"10255"</f>
        <v>10255</v>
      </c>
      <c r="E590" t="str">
        <f>"ED24F009"</f>
        <v>ED24F009</v>
      </c>
    </row>
    <row r="591" spans="1:5" x14ac:dyDescent="0.25">
      <c r="A591" t="str">
        <f>"307937"</f>
        <v>307937</v>
      </c>
      <c r="B591" s="1" t="str">
        <f>"81983603808"</f>
        <v>81983603808</v>
      </c>
      <c r="C591" t="str">
        <f>"EVERYDAY COUNTER-PRAYING FOR YOU-46821"</f>
        <v>EVERYDAY COUNTER-PRAYING FOR YOU-46821</v>
      </c>
      <c r="D591" t="str">
        <f>"46821"</f>
        <v>46821</v>
      </c>
      <c r="E591" t="str">
        <f>"ED24F010"</f>
        <v>ED24F010</v>
      </c>
    </row>
    <row r="592" spans="1:5" x14ac:dyDescent="0.25">
      <c r="A592" t="str">
        <f>"308455"</f>
        <v>308455</v>
      </c>
      <c r="B592" s="1" t="str">
        <f>"81983721885"</f>
        <v>81983721885</v>
      </c>
      <c r="C592" t="str">
        <f>"EVERYDAY COUNTER-GET WELL/A CHEERFUL HEART  PKG/6-J3440"</f>
        <v>EVERYDAY COUNTER-GET WELL/A CHEERFUL HEART  PKG/6-J3440</v>
      </c>
      <c r="D592" t="str">
        <f>"J3440"</f>
        <v>J3440</v>
      </c>
      <c r="E592" t="str">
        <f>"ED24F011"</f>
        <v>ED24F011</v>
      </c>
    </row>
    <row r="593" spans="1:5" x14ac:dyDescent="0.25">
      <c r="A593" t="str">
        <f>"308426"</f>
        <v>308426</v>
      </c>
      <c r="B593" s="1" t="str">
        <f>"81983720512"</f>
        <v>81983720512</v>
      </c>
      <c r="C593" t="str">
        <f>"EVERYDAY COUNTER-HL - SYMPATHY LOSS OF DAD/HONORING PKG/6-J3297"</f>
        <v>EVERYDAY COUNTER-HL - SYMPATHY LOSS OF DAD/HONORING PKG/6-J3297</v>
      </c>
      <c r="D593" t="str">
        <f>"J3297"</f>
        <v>J3297</v>
      </c>
      <c r="E593" t="str">
        <f>"ED24F012"</f>
        <v>ED24F012</v>
      </c>
    </row>
    <row r="594" spans="1:5" x14ac:dyDescent="0.25">
      <c r="A594" t="str">
        <f>"308433"</f>
        <v>308433</v>
      </c>
      <c r="B594" s="1" t="str">
        <f>"81983720581"</f>
        <v>81983720581</v>
      </c>
      <c r="C594" t="str">
        <f>"EVERYDAY COUNTER-HL - SYMPATHY/COUNT ME IN PKG/6-J3304"</f>
        <v>EVERYDAY COUNTER-HL - SYMPATHY/COUNT ME IN PKG/6-J3304</v>
      </c>
      <c r="D594" t="str">
        <f>"J3304"</f>
        <v>J3304</v>
      </c>
      <c r="E594" t="str">
        <f>"ED24F013"</f>
        <v>ED24F013</v>
      </c>
    </row>
    <row r="595" spans="1:5" x14ac:dyDescent="0.25">
      <c r="A595" t="str">
        <f>"308252"</f>
        <v>308252</v>
      </c>
      <c r="B595" s="1" t="str">
        <f>"81983774508"</f>
        <v>81983774508</v>
      </c>
      <c r="C595" t="str">
        <f>"EVERYDAY COUNTER-SYMPATHY PKG/6-92194"</f>
        <v>EVERYDAY COUNTER-SYMPATHY PKG/6-92194</v>
      </c>
      <c r="D595" t="str">
        <f>"92194"</f>
        <v>92194</v>
      </c>
      <c r="E595" t="str">
        <f>"ED24F014"</f>
        <v>ED24F014</v>
      </c>
    </row>
    <row r="596" spans="1:5" x14ac:dyDescent="0.25">
      <c r="A596" t="str">
        <f>"279616"</f>
        <v>279616</v>
      </c>
      <c r="B596" s="1" t="str">
        <f>"81983774522"</f>
        <v>81983774522</v>
      </c>
      <c r="C596" t="str">
        <f>"EVERYDAY COUNTER-SYMPATHY PKG/6-J8209"</f>
        <v>EVERYDAY COUNTER-SYMPATHY PKG/6-J8209</v>
      </c>
      <c r="D596" t="str">
        <f>"J8209"</f>
        <v>J8209</v>
      </c>
      <c r="E596" t="str">
        <f>"ED24F015"</f>
        <v>ED24F015</v>
      </c>
    </row>
    <row r="597" spans="1:5" x14ac:dyDescent="0.25">
      <c r="A597" t="str">
        <f>"298811"</f>
        <v>298811</v>
      </c>
      <c r="B597" s="1" t="str">
        <f>"81983772252"</f>
        <v>81983772252</v>
      </c>
      <c r="C597" t="str">
        <f>"EVERYDAY COUNTER-SYMPATHY - LOSS OF MOM-J9937"</f>
        <v>EVERYDAY COUNTER-SYMPATHY - LOSS OF MOM-J9937</v>
      </c>
      <c r="D597" t="str">
        <f>"J9937"</f>
        <v>J9937</v>
      </c>
      <c r="E597" t="str">
        <f>"ED24F016"</f>
        <v>ED24F016</v>
      </c>
    </row>
    <row r="598" spans="1:5" x14ac:dyDescent="0.25">
      <c r="A598" t="str">
        <f>"308443"</f>
        <v>308443</v>
      </c>
      <c r="B598" s="1" t="str">
        <f>"81983721755"</f>
        <v>81983721755</v>
      </c>
      <c r="C598" t="str">
        <f>"EVERYDAY COUNTER-DIFFICULT TIME/NOTHING ABOUT WHAT YOU'RE GOING THROUGH PKG/6-J3427"</f>
        <v>EVERYDAY COUNTER-DIFFICULT TIME/NOTHING ABOUT WHAT YOU'RE GOING THROUGH PKG/6-J3427</v>
      </c>
      <c r="D598" t="str">
        <f>"J3427"</f>
        <v>J3427</v>
      </c>
      <c r="E598" t="str">
        <f>"ED24F017"</f>
        <v>ED24F017</v>
      </c>
    </row>
    <row r="599" spans="1:5" x14ac:dyDescent="0.25">
      <c r="A599" t="str">
        <f>"308462"</f>
        <v>308462</v>
      </c>
      <c r="B599" s="1" t="str">
        <f>"81983721946"</f>
        <v>81983721946</v>
      </c>
      <c r="C599" t="str">
        <f>"EVERYDAY COUNTER-PRAYING FOR YOU/LORD, SOMETIMES LIFE IS HARD PKG/6-J3446"</f>
        <v>EVERYDAY COUNTER-PRAYING FOR YOU/LORD, SOMETIMES LIFE IS HARD PKG/6-J3446</v>
      </c>
      <c r="D599" t="str">
        <f>"J3446"</f>
        <v>J3446</v>
      </c>
      <c r="E599" t="str">
        <f>"ED24F018"</f>
        <v>ED24F018</v>
      </c>
    </row>
    <row r="600" spans="1:5" x14ac:dyDescent="0.25">
      <c r="A600" t="str">
        <f>"345248"</f>
        <v>345248</v>
      </c>
      <c r="B600" s="1" t="str">
        <f>"81983793691"</f>
        <v>81983793691</v>
      </c>
      <c r="C600" t="str">
        <f>"EVERYDAY COUNTER-GET WELL HUMOR PKG/6"</f>
        <v>EVERYDAY COUNTER-GET WELL HUMOR PKG/6</v>
      </c>
      <c r="D600" t="str">
        <f>"U2585"</f>
        <v>U2585</v>
      </c>
      <c r="E600" t="str">
        <f>"ED24F019"</f>
        <v>ED24F019</v>
      </c>
    </row>
    <row r="601" spans="1:5" x14ac:dyDescent="0.25">
      <c r="A601" t="str">
        <f>"308430"</f>
        <v>308430</v>
      </c>
      <c r="B601" s="1" t="str">
        <f>"81983720550"</f>
        <v>81983720550</v>
      </c>
      <c r="C601" t="str">
        <f>"EVERYDAY COUNTER-HL - SYMPATHY LOSS OF HUSBAND/REMEMBERED PKG/6-J3301"</f>
        <v>EVERYDAY COUNTER-HL - SYMPATHY LOSS OF HUSBAND/REMEMBERED PKG/6-J3301</v>
      </c>
      <c r="D601" t="str">
        <f>"J3301"</f>
        <v>J3301</v>
      </c>
      <c r="E601" t="str">
        <f>"ED24F020"</f>
        <v>ED24F020</v>
      </c>
    </row>
    <row r="602" spans="1:5" x14ac:dyDescent="0.25">
      <c r="A602" t="str">
        <f>"308431"</f>
        <v>308431</v>
      </c>
      <c r="B602" s="1" t="str">
        <f>"81983720567"</f>
        <v>81983720567</v>
      </c>
      <c r="C602" t="str">
        <f>"EVERYDAY COUNTER-HL - SYMPATHY LOSS OF WIFE/SPECIAL PERSON PKG/6-J3302"</f>
        <v>EVERYDAY COUNTER-HL - SYMPATHY LOSS OF WIFE/SPECIAL PERSON PKG/6-J3302</v>
      </c>
      <c r="D602" t="str">
        <f>"J3302"</f>
        <v>J3302</v>
      </c>
      <c r="E602" t="str">
        <f>"ED24F021"</f>
        <v>ED24F021</v>
      </c>
    </row>
    <row r="603" spans="1:5" x14ac:dyDescent="0.25">
      <c r="A603" t="str">
        <f>"345259"</f>
        <v>345259</v>
      </c>
      <c r="B603" s="1" t="str">
        <f>"81983793783"</f>
        <v>81983793783</v>
      </c>
      <c r="C603" t="str">
        <f>"EVERYDAY COUNTER-SYMPATHY PKG/6-U2594"</f>
        <v>EVERYDAY COUNTER-SYMPATHY PKG/6-U2594</v>
      </c>
      <c r="D603" t="str">
        <f>"U2594"</f>
        <v>U2594</v>
      </c>
      <c r="E603" t="str">
        <f>"ED24F022"</f>
        <v>ED24F022</v>
      </c>
    </row>
    <row r="604" spans="1:5" x14ac:dyDescent="0.25">
      <c r="A604" t="str">
        <f>"308074"</f>
        <v>308074</v>
      </c>
      <c r="B604" s="1" t="str">
        <f>"81983774416"</f>
        <v>81983774416</v>
      </c>
      <c r="C604" t="str">
        <f>"EVERYDAY COUNTER-SYMPATHY-72855"</f>
        <v>EVERYDAY COUNTER-SYMPATHY-72855</v>
      </c>
      <c r="D604" t="str">
        <f>"72855"</f>
        <v>72855</v>
      </c>
      <c r="E604" t="str">
        <f>"ED24F023"</f>
        <v>ED24F023</v>
      </c>
    </row>
    <row r="605" spans="1:5" x14ac:dyDescent="0.25">
      <c r="A605" t="str">
        <f>"279633"</f>
        <v>279633</v>
      </c>
      <c r="B605" s="1" t="str">
        <f>"81983757754"</f>
        <v>81983757754</v>
      </c>
      <c r="C605" t="str">
        <f>"EVERYDAY COUNTER-SYMPATHY - LOSS OF MOM PKG/6-J8223"</f>
        <v>EVERYDAY COUNTER-SYMPATHY - LOSS OF MOM PKG/6-J8223</v>
      </c>
      <c r="D605" t="str">
        <f>"J8223"</f>
        <v>J8223</v>
      </c>
      <c r="E605" t="str">
        <f>"ED24F024"</f>
        <v>ED24F024</v>
      </c>
    </row>
    <row r="606" spans="1:5" x14ac:dyDescent="0.25">
      <c r="A606" t="str">
        <f>"308442"</f>
        <v>308442</v>
      </c>
      <c r="B606" s="1" t="str">
        <f>"81983721748"</f>
        <v>81983721748</v>
      </c>
      <c r="C606" t="str">
        <f>"EVERYDAY COUNTER-ENC- DIFFICULT RELATIONSHIP/COFFEE PKG/6-J3426"</f>
        <v>EVERYDAY COUNTER-ENC- DIFFICULT RELATIONSHIP/COFFEE PKG/6-J3426</v>
      </c>
      <c r="D606" t="str">
        <f>"J3426"</f>
        <v>J3426</v>
      </c>
      <c r="E606" t="str">
        <f>"ED24F025"</f>
        <v>ED24F025</v>
      </c>
    </row>
    <row r="607" spans="1:5" x14ac:dyDescent="0.25">
      <c r="A607" t="str">
        <f>"345251"</f>
        <v>345251</v>
      </c>
      <c r="B607" s="1" t="str">
        <f>"81983793721"</f>
        <v>81983793721</v>
      </c>
      <c r="C607" t="str">
        <f>"EVERYDAY COUNTER-PRAYING FOR YOU PKG/6-U2588"</f>
        <v>EVERYDAY COUNTER-PRAYING FOR YOU PKG/6-U2588</v>
      </c>
      <c r="D607" t="str">
        <f>"U2588"</f>
        <v>U2588</v>
      </c>
      <c r="E607" t="str">
        <f>"ED24F026"</f>
        <v>ED24F026</v>
      </c>
    </row>
    <row r="608" spans="1:5" x14ac:dyDescent="0.25">
      <c r="A608" t="str">
        <f>"308450"</f>
        <v>308450</v>
      </c>
      <c r="B608" s="1" t="str">
        <f>"81983721854"</f>
        <v>81983721854</v>
      </c>
      <c r="C608" t="str">
        <f>"EVERYDAY COUNTER-GET WELL/JEHOVAH-RAPHA PKG/6-J3437"</f>
        <v>EVERYDAY COUNTER-GET WELL/JEHOVAH-RAPHA PKG/6-J3437</v>
      </c>
      <c r="D608" t="str">
        <f>"J3437"</f>
        <v>J3437</v>
      </c>
      <c r="E608" t="str">
        <f>"ED24F027"</f>
        <v>ED24F027</v>
      </c>
    </row>
    <row r="609" spans="1:5" x14ac:dyDescent="0.25">
      <c r="A609" t="str">
        <f>"308429"</f>
        <v>308429</v>
      </c>
      <c r="B609" s="1" t="str">
        <f>"81983720543"</f>
        <v>81983720543</v>
      </c>
      <c r="C609" t="str">
        <f>"EVERYDAY COUNTER-HL - SYMPATHY LOSS OF SON/PLANTERS PKG/6-J3300"</f>
        <v>EVERYDAY COUNTER-HL - SYMPATHY LOSS OF SON/PLANTERS PKG/6-J3300</v>
      </c>
      <c r="D609" t="str">
        <f>"J3300"</f>
        <v>J3300</v>
      </c>
      <c r="E609" t="str">
        <f>"ED24F028"</f>
        <v>ED24F028</v>
      </c>
    </row>
    <row r="610" spans="1:5" x14ac:dyDescent="0.25">
      <c r="A610" t="str">
        <f>"308428"</f>
        <v>308428</v>
      </c>
      <c r="B610" s="1" t="str">
        <f>"81983720536"</f>
        <v>81983720536</v>
      </c>
      <c r="C610" t="str">
        <f>"EVERYDAY COUNTER-HL - SYMPATHY LOSS OF DAUGHTER/GIFT FOR A LIFETIME PKG/6-J3299"</f>
        <v>EVERYDAY COUNTER-HL - SYMPATHY LOSS OF DAUGHTER/GIFT FOR A LIFETIME PKG/6-J3299</v>
      </c>
      <c r="D610" t="str">
        <f>"J3299"</f>
        <v>J3299</v>
      </c>
      <c r="E610" t="str">
        <f>"ED24F029"</f>
        <v>ED24F029</v>
      </c>
    </row>
    <row r="611" spans="1:5" x14ac:dyDescent="0.25">
      <c r="A611" t="str">
        <f>"279627"</f>
        <v>279627</v>
      </c>
      <c r="B611" s="1" t="str">
        <f>"81983757709"</f>
        <v>81983757709</v>
      </c>
      <c r="C611" t="str">
        <f>"EVERYDAY COUNTER-SYMPATHY PKG/6-J8218"</f>
        <v>EVERYDAY COUNTER-SYMPATHY PKG/6-J8218</v>
      </c>
      <c r="D611" t="str">
        <f>"J8218"</f>
        <v>J8218</v>
      </c>
      <c r="E611" t="str">
        <f>"ED24F030"</f>
        <v>ED24F030</v>
      </c>
    </row>
    <row r="612" spans="1:5" x14ac:dyDescent="0.25">
      <c r="A612" t="str">
        <f>"279621"</f>
        <v>279621</v>
      </c>
      <c r="B612" s="1" t="str">
        <f>"81983757655"</f>
        <v>81983757655</v>
      </c>
      <c r="C612" t="str">
        <f>"EVERYDAY COUNTER-SYMPATHY PKG/6-J8213"</f>
        <v>EVERYDAY COUNTER-SYMPATHY PKG/6-J8213</v>
      </c>
      <c r="D612" t="str">
        <f>"J8213"</f>
        <v>J8213</v>
      </c>
      <c r="E612" t="str">
        <f>"ED24F031"</f>
        <v>ED24F031</v>
      </c>
    </row>
    <row r="613" spans="1:5" x14ac:dyDescent="0.25">
      <c r="A613" t="str">
        <f>"308097"</f>
        <v>308097</v>
      </c>
      <c r="B613" s="1" t="str">
        <f>"81983567988"</f>
        <v>81983567988</v>
      </c>
      <c r="C613" t="str">
        <f>"EVERYDAY COUNTER-SYMPATHY - LOSS OF MOM-75412"</f>
        <v>EVERYDAY COUNTER-SYMPATHY - LOSS OF MOM-75412</v>
      </c>
      <c r="D613" t="str">
        <f>"75412"</f>
        <v>75412</v>
      </c>
      <c r="E613" t="str">
        <f>"ED24F032"</f>
        <v>ED24F032</v>
      </c>
    </row>
    <row r="614" spans="1:5" x14ac:dyDescent="0.25">
      <c r="A614" t="str">
        <f>"308020"</f>
        <v>308020</v>
      </c>
      <c r="B614" s="1" t="str">
        <f>"81983562952"</f>
        <v>81983562952</v>
      </c>
      <c r="C614" t="str">
        <f>"EVERYDAY COUNTER-DIFFICULT RELATIONSHIP-66651"</f>
        <v>EVERYDAY COUNTER-DIFFICULT RELATIONSHIP-66651</v>
      </c>
      <c r="D614" t="str">
        <f>"66651"</f>
        <v>66651</v>
      </c>
      <c r="E614" t="str">
        <f>"ED24F033"</f>
        <v>ED24F033</v>
      </c>
    </row>
    <row r="615" spans="1:5" x14ac:dyDescent="0.25">
      <c r="A615" t="str">
        <f>"345250"</f>
        <v>345250</v>
      </c>
      <c r="B615" s="1" t="str">
        <f>"81983793714"</f>
        <v>81983793714</v>
      </c>
      <c r="C615" t="str">
        <f>"EVERYDAY COUNTER-PRAYING FOR YOU PKG/6-U2587"</f>
        <v>EVERYDAY COUNTER-PRAYING FOR YOU PKG/6-U2587</v>
      </c>
      <c r="D615" t="str">
        <f>"U2587"</f>
        <v>U2587</v>
      </c>
      <c r="E615" t="str">
        <f>"ED24F034"</f>
        <v>ED24F034</v>
      </c>
    </row>
    <row r="616" spans="1:5" x14ac:dyDescent="0.25">
      <c r="A616" t="str">
        <f>"345247"</f>
        <v>345247</v>
      </c>
      <c r="B616" s="1" t="str">
        <f>"81983793684"</f>
        <v>81983793684</v>
      </c>
      <c r="C616" t="str">
        <f>"EVERYDAY COUNTER-GET WELL PKG/6-U2584"</f>
        <v>EVERYDAY COUNTER-GET WELL PKG/6-U2584</v>
      </c>
      <c r="D616" t="str">
        <f>"U2584"</f>
        <v>U2584</v>
      </c>
      <c r="E616" t="str">
        <f>"ED24F035"</f>
        <v>ED24F035</v>
      </c>
    </row>
    <row r="617" spans="1:5" x14ac:dyDescent="0.25">
      <c r="A617" t="str">
        <f>"279594"</f>
        <v>279594</v>
      </c>
      <c r="B617" s="1" t="str">
        <f>"81983757457"</f>
        <v>81983757457</v>
      </c>
      <c r="C617" t="str">
        <f>"EVERYDAY COUNTER-GET WELL PKG/6-J8193"</f>
        <v>EVERYDAY COUNTER-GET WELL PKG/6-J8193</v>
      </c>
      <c r="D617" t="str">
        <f>"J8193"</f>
        <v>J8193</v>
      </c>
      <c r="E617" t="str">
        <f>"ED24F036"</f>
        <v>ED24F036</v>
      </c>
    </row>
    <row r="618" spans="1:5" x14ac:dyDescent="0.25">
      <c r="A618" t="str">
        <f>"298805"</f>
        <v>298805</v>
      </c>
      <c r="B618" s="1" t="str">
        <f>"81983603495"</f>
        <v>81983603495</v>
      </c>
      <c r="C618" t="str">
        <f>"EVERYDAY COUNTER-SYMPATHY-43975"</f>
        <v>EVERYDAY COUNTER-SYMPATHY-43975</v>
      </c>
      <c r="D618" t="str">
        <f>"43975"</f>
        <v>43975</v>
      </c>
      <c r="E618" t="str">
        <f>"ED24F037"</f>
        <v>ED24F037</v>
      </c>
    </row>
    <row r="619" spans="1:5" x14ac:dyDescent="0.25">
      <c r="A619" t="str">
        <f>"279618"</f>
        <v>279618</v>
      </c>
      <c r="B619" s="1" t="str">
        <f>"81983774539"</f>
        <v>81983774539</v>
      </c>
      <c r="C619" t="str">
        <f>"EVERYDAY COUNTER-SYMPATHY PKG/6-J8211"</f>
        <v>EVERYDAY COUNTER-SYMPATHY PKG/6-J8211</v>
      </c>
      <c r="D619" t="str">
        <f>"J8211"</f>
        <v>J8211</v>
      </c>
      <c r="E619" t="str">
        <f>"ED24F038"</f>
        <v>ED24F038</v>
      </c>
    </row>
    <row r="620" spans="1:5" x14ac:dyDescent="0.25">
      <c r="A620" t="str">
        <f>"308079"</f>
        <v>308079</v>
      </c>
      <c r="B620" s="1" t="str">
        <f>"81983643606"</f>
        <v>81983643606</v>
      </c>
      <c r="C620" t="str">
        <f>"EVERYDAY COUNTER-SYMPATHY LOSS OF WIFE-72911"</f>
        <v>EVERYDAY COUNTER-SYMPATHY LOSS OF WIFE-72911</v>
      </c>
      <c r="D620" t="str">
        <f>"72911"</f>
        <v>72911</v>
      </c>
      <c r="E620" t="str">
        <f>"ED24F039"</f>
        <v>ED24F039</v>
      </c>
    </row>
    <row r="621" spans="1:5" x14ac:dyDescent="0.25">
      <c r="A621" t="str">
        <f>"279632"</f>
        <v>279632</v>
      </c>
      <c r="B621" s="1" t="str">
        <f>"81983774638"</f>
        <v>81983774638</v>
      </c>
      <c r="C621" t="str">
        <f>"EVERYDAY COUNTER-SYMPATHY - LOSS OF MOM PKG/6-J8222"</f>
        <v>EVERYDAY COUNTER-SYMPATHY - LOSS OF MOM PKG/6-J8222</v>
      </c>
      <c r="D621" t="str">
        <f>"J8222"</f>
        <v>J8222</v>
      </c>
      <c r="E621" t="str">
        <f>"ED24F040"</f>
        <v>ED24F040</v>
      </c>
    </row>
    <row r="622" spans="1:5" x14ac:dyDescent="0.25">
      <c r="A622" t="str">
        <f>"307907"</f>
        <v>307907</v>
      </c>
      <c r="B622" s="1" t="str">
        <f>"81983612626"</f>
        <v>81983612626</v>
      </c>
      <c r="C622" t="str">
        <f>"EVERYDAY COUNTER-ENCOURAGEMENT - DIFFICULT RELATION SHIP-44163"</f>
        <v>EVERYDAY COUNTER-ENCOURAGEMENT - DIFFICULT RELATION SHIP-44163</v>
      </c>
      <c r="D622" t="str">
        <f>"44163"</f>
        <v>44163</v>
      </c>
      <c r="E622" t="str">
        <f>"ED24F041"</f>
        <v>ED24F041</v>
      </c>
    </row>
    <row r="623" spans="1:5" x14ac:dyDescent="0.25">
      <c r="A623" t="str">
        <f>"308085"</f>
        <v>308085</v>
      </c>
      <c r="B623" s="1" t="str">
        <f>"81983589195"</f>
        <v>81983589195</v>
      </c>
      <c r="C623" t="str">
        <f>"EVERYDAY COUNTER-PFY - FOR ANYONE-75294"</f>
        <v>EVERYDAY COUNTER-PFY - FOR ANYONE-75294</v>
      </c>
      <c r="D623" t="str">
        <f>"75294"</f>
        <v>75294</v>
      </c>
      <c r="E623" t="str">
        <f>"ED24F042"</f>
        <v>ED24F042</v>
      </c>
    </row>
    <row r="624" spans="1:5" x14ac:dyDescent="0.25">
      <c r="A624" t="str">
        <f>"308451"</f>
        <v>308451</v>
      </c>
      <c r="B624" s="1" t="str">
        <f>"81983721861"</f>
        <v>81983721861</v>
      </c>
      <c r="C624" t="str">
        <f>"EVERYDAY COUNTER-GET WELL/THREE PLANTERS PKG/6-J3438"</f>
        <v>EVERYDAY COUNTER-GET WELL/THREE PLANTERS PKG/6-J3438</v>
      </c>
      <c r="D624" t="str">
        <f>"J3438"</f>
        <v>J3438</v>
      </c>
      <c r="E624" t="str">
        <f>"ED24F043"</f>
        <v>ED24F043</v>
      </c>
    </row>
    <row r="625" spans="1:5" x14ac:dyDescent="0.25">
      <c r="A625" t="str">
        <f>"307893"</f>
        <v>307893</v>
      </c>
      <c r="B625" s="1" t="str">
        <f>"81983678462"</f>
        <v>81983678462</v>
      </c>
      <c r="C625" t="str">
        <f>"EVERYDAY COUNTER-GET WELL ANYONE-44125"</f>
        <v>EVERYDAY COUNTER-GET WELL ANYONE-44125</v>
      </c>
      <c r="D625" t="str">
        <f>"44125"</f>
        <v>44125</v>
      </c>
      <c r="E625" t="str">
        <f>"ED24F044"</f>
        <v>ED24F044</v>
      </c>
    </row>
    <row r="626" spans="1:5" x14ac:dyDescent="0.25">
      <c r="A626" t="str">
        <f>"298803"</f>
        <v>298803</v>
      </c>
      <c r="B626" s="1" t="str">
        <f>"81983603266"</f>
        <v>81983603266</v>
      </c>
      <c r="C626" t="str">
        <f>"EVERYDAY COUNTER-SYMPATHY-42571"</f>
        <v>EVERYDAY COUNTER-SYMPATHY-42571</v>
      </c>
      <c r="D626" t="str">
        <f>"42571"</f>
        <v>42571</v>
      </c>
      <c r="E626" t="str">
        <f>"ED24F045"</f>
        <v>ED24F045</v>
      </c>
    </row>
    <row r="627" spans="1:5" x14ac:dyDescent="0.25">
      <c r="A627" t="str">
        <f>"308072"</f>
        <v>308072</v>
      </c>
      <c r="B627" s="1" t="str">
        <f>"81983774454"</f>
        <v>81983774454</v>
      </c>
      <c r="C627" t="str">
        <f>"EVERYDAY COUNTER-SYMPATHY-72852"</f>
        <v>EVERYDAY COUNTER-SYMPATHY-72852</v>
      </c>
      <c r="D627" t="str">
        <f>"72852"</f>
        <v>72852</v>
      </c>
      <c r="E627" t="str">
        <f>"ED24F046"</f>
        <v>ED24F046</v>
      </c>
    </row>
    <row r="628" spans="1:5" x14ac:dyDescent="0.25">
      <c r="A628" t="str">
        <f>"345263"</f>
        <v>345263</v>
      </c>
      <c r="B628" s="1" t="str">
        <f>"81983793820"</f>
        <v>81983793820</v>
      </c>
      <c r="C628" t="str">
        <f>"EVERYDAY COUNTER-SYMPATHY/LOSS OF WIFE PKG/6"</f>
        <v>EVERYDAY COUNTER-SYMPATHY/LOSS OF WIFE PKG/6</v>
      </c>
      <c r="D628" t="str">
        <f>"U2598"</f>
        <v>U2598</v>
      </c>
      <c r="E628" t="str">
        <f>"ED24F047"</f>
        <v>ED24F047</v>
      </c>
    </row>
    <row r="629" spans="1:5" x14ac:dyDescent="0.25">
      <c r="A629" t="str">
        <f>"307890"</f>
        <v>307890</v>
      </c>
      <c r="B629" s="1" t="str">
        <f>"81983513022"</f>
        <v>81983513022</v>
      </c>
      <c r="C629" t="str">
        <f>"EVERYDAY COUNTER-SYMPATHY - LOSS OF DAD-43993"</f>
        <v>EVERYDAY COUNTER-SYMPATHY - LOSS OF DAD-43993</v>
      </c>
      <c r="D629" t="str">
        <f>"43993"</f>
        <v>43993</v>
      </c>
      <c r="E629" t="str">
        <f>"ED24F048"</f>
        <v>ED24F048</v>
      </c>
    </row>
    <row r="630" spans="1:5" x14ac:dyDescent="0.25">
      <c r="A630" t="str">
        <f>"298746"</f>
        <v>298746</v>
      </c>
      <c r="B630" s="1" t="str">
        <f>"81983593437"</f>
        <v>81983593437</v>
      </c>
      <c r="C630" t="str">
        <f>"EVERYDAY COUNTER-ENC-DIFF REL SPOUSE-11740"</f>
        <v>EVERYDAY COUNTER-ENC-DIFF REL SPOUSE-11740</v>
      </c>
      <c r="D630" t="str">
        <f>"11740"</f>
        <v>11740</v>
      </c>
      <c r="E630" t="str">
        <f>"ED24F049"</f>
        <v>ED24F049</v>
      </c>
    </row>
    <row r="631" spans="1:5" x14ac:dyDescent="0.25">
      <c r="A631" t="str">
        <f>"279597"</f>
        <v>279597</v>
      </c>
      <c r="B631" s="1" t="str">
        <f>"81983757471"</f>
        <v>81983757471</v>
      </c>
      <c r="C631" t="str">
        <f>"EVERYDAY COUNTER-PRAYING FOR YOU PKG/6-J8195"</f>
        <v>EVERYDAY COUNTER-PRAYING FOR YOU PKG/6-J8195</v>
      </c>
      <c r="D631" t="str">
        <f>"J8195"</f>
        <v>J8195</v>
      </c>
      <c r="E631" t="str">
        <f>"ED24F050"</f>
        <v>ED24F050</v>
      </c>
    </row>
    <row r="632" spans="1:5" x14ac:dyDescent="0.25">
      <c r="A632" t="str">
        <f>"308077"</f>
        <v>308077</v>
      </c>
      <c r="B632" s="1" t="str">
        <f>"81983643392"</f>
        <v>81983643392</v>
      </c>
      <c r="C632" t="str">
        <f>"EVERYDAY COUNTER-GET WELL-72901"</f>
        <v>EVERYDAY COUNTER-GET WELL-72901</v>
      </c>
      <c r="D632" t="str">
        <f>"72901"</f>
        <v>72901</v>
      </c>
      <c r="E632" t="str">
        <f>"ED24F051"</f>
        <v>ED24F051</v>
      </c>
    </row>
    <row r="633" spans="1:5" x14ac:dyDescent="0.25">
      <c r="A633" t="str">
        <f>"308265"</f>
        <v>308265</v>
      </c>
      <c r="B633" s="1" t="str">
        <f>"81983506062"</f>
        <v>81983506062</v>
      </c>
      <c r="C633" t="str">
        <f>"EVERYDAY COUNTER-GET WELL FOR ANYONE-39354"</f>
        <v>EVERYDAY COUNTER-GET WELL FOR ANYONE-39354</v>
      </c>
      <c r="D633" t="str">
        <f>"39354"</f>
        <v>39354</v>
      </c>
      <c r="E633" t="str">
        <f>"ED24F052"</f>
        <v>ED24F052</v>
      </c>
    </row>
    <row r="634" spans="1:5" x14ac:dyDescent="0.25">
      <c r="A634" t="str">
        <f>"308068"</f>
        <v>308068</v>
      </c>
      <c r="B634" s="1" t="str">
        <f>"81983774492"</f>
        <v>81983774492</v>
      </c>
      <c r="C634" t="str">
        <f>"EVERYDAY COUNTER-SYMPATHY-72818"</f>
        <v>EVERYDAY COUNTER-SYMPATHY-72818</v>
      </c>
      <c r="D634" t="str">
        <f>"72818"</f>
        <v>72818</v>
      </c>
      <c r="E634" t="str">
        <f>"ED24F053"</f>
        <v>ED24F053</v>
      </c>
    </row>
    <row r="635" spans="1:5" x14ac:dyDescent="0.25">
      <c r="A635" t="str">
        <f>"298735"</f>
        <v>298735</v>
      </c>
      <c r="B635" s="1" t="str">
        <f>"81983774430"</f>
        <v>81983774430</v>
      </c>
      <c r="C635" t="str">
        <f>"EVERYDAY COUNTER-SYM-FOR ANYONE-11706"</f>
        <v>EVERYDAY COUNTER-SYM-FOR ANYONE-11706</v>
      </c>
      <c r="D635" t="str">
        <f>"11706"</f>
        <v>11706</v>
      </c>
      <c r="E635" t="str">
        <f>"ED24F054"</f>
        <v>ED24F054</v>
      </c>
    </row>
    <row r="636" spans="1:5" x14ac:dyDescent="0.25">
      <c r="A636" t="str">
        <f>"279631"</f>
        <v>279631</v>
      </c>
      <c r="B636" s="1" t="str">
        <f>"81983774621"</f>
        <v>81983774621</v>
      </c>
      <c r="C636" t="str">
        <f>"EVERYDAY COUNTER-SYMPATHY - LOSS OF HUSBAND PKG/6-J8221"</f>
        <v>EVERYDAY COUNTER-SYMPATHY - LOSS OF HUSBAND PKG/6-J8221</v>
      </c>
      <c r="D636" t="str">
        <f>"J8221"</f>
        <v>J8221</v>
      </c>
      <c r="E636" t="str">
        <f>"ED24F055"</f>
        <v>ED24F055</v>
      </c>
    </row>
    <row r="637" spans="1:5" x14ac:dyDescent="0.25">
      <c r="A637" t="str">
        <f>"298813"</f>
        <v>298813</v>
      </c>
      <c r="B637" s="1" t="str">
        <f>"81983772238"</f>
        <v>81983772238</v>
      </c>
      <c r="C637" t="str">
        <f>"EVERYDAY COUNTER-SYMPATHY - LOSS OF DAD-J9935"</f>
        <v>EVERYDAY COUNTER-SYMPATHY - LOSS OF DAD-J9935</v>
      </c>
      <c r="D637" t="str">
        <f>"J9935"</f>
        <v>J9935</v>
      </c>
      <c r="E637" t="str">
        <f>"ED24F056"</f>
        <v>ED24F056</v>
      </c>
    </row>
    <row r="638" spans="1:5" x14ac:dyDescent="0.25">
      <c r="A638" t="str">
        <f>"307905"</f>
        <v>307905</v>
      </c>
      <c r="B638" s="1" t="str">
        <f>"81983612602"</f>
        <v>81983612602</v>
      </c>
      <c r="C638" t="str">
        <f>"EVERYDAY COUNTER-ENC-DEPRESSION-44152"</f>
        <v>EVERYDAY COUNTER-ENC-DEPRESSION-44152</v>
      </c>
      <c r="D638" t="str">
        <f>"44152"</f>
        <v>44152</v>
      </c>
      <c r="E638" t="str">
        <f>"ED24F057"</f>
        <v>ED24F057</v>
      </c>
    </row>
    <row r="639" spans="1:5" x14ac:dyDescent="0.25">
      <c r="A639" t="str">
        <f>"308217"</f>
        <v>308217</v>
      </c>
      <c r="B639" s="1" t="str">
        <f>"81983677397"</f>
        <v>81983677397</v>
      </c>
      <c r="C639" t="str">
        <f>"EVERYDAY COUNTER-PRAYING FOR YOU PKG/6-91996"</f>
        <v>EVERYDAY COUNTER-PRAYING FOR YOU PKG/6-91996</v>
      </c>
      <c r="D639" t="str">
        <f>"91996"</f>
        <v>91996</v>
      </c>
      <c r="E639" t="str">
        <f>"ED24F058"</f>
        <v>ED24F058</v>
      </c>
    </row>
    <row r="640" spans="1:5" x14ac:dyDescent="0.25">
      <c r="A640" t="str">
        <f>"345249"</f>
        <v>345249</v>
      </c>
      <c r="B640" s="1" t="str">
        <f>"81983793707"</f>
        <v>81983793707</v>
      </c>
      <c r="C640" t="str">
        <f>"EVERYDAY COUNTER-PRAYING FOR YOU PKG/6-U2586"</f>
        <v>EVERYDAY COUNTER-PRAYING FOR YOU PKG/6-U2586</v>
      </c>
      <c r="D640" t="str">
        <f>"U2586"</f>
        <v>U2586</v>
      </c>
      <c r="E640" t="str">
        <f>"ED24F059"</f>
        <v>ED24F059</v>
      </c>
    </row>
    <row r="641" spans="1:5" x14ac:dyDescent="0.25">
      <c r="A641" t="str">
        <f>"279595"</f>
        <v>279595</v>
      </c>
      <c r="B641" s="1" t="str">
        <f>"81983757464"</f>
        <v>81983757464</v>
      </c>
      <c r="C641" t="str">
        <f>"EVERYDAY COUNTER-GET WELL PKG/6-J8194"</f>
        <v>EVERYDAY COUNTER-GET WELL PKG/6-J8194</v>
      </c>
      <c r="D641" t="str">
        <f>"J8194"</f>
        <v>J8194</v>
      </c>
      <c r="E641" t="str">
        <f>"ED24F060"</f>
        <v>ED24F060</v>
      </c>
    </row>
    <row r="642" spans="1:5" x14ac:dyDescent="0.25">
      <c r="A642" t="str">
        <f>"279620"</f>
        <v>279620</v>
      </c>
      <c r="B642" s="1" t="str">
        <f>"81983757648"</f>
        <v>81983757648</v>
      </c>
      <c r="C642" t="str">
        <f>"EVERYDAY COUNTER-SYMPATHY PKG/6-J8212"</f>
        <v>EVERYDAY COUNTER-SYMPATHY PKG/6-J8212</v>
      </c>
      <c r="D642" t="str">
        <f>"J8212"</f>
        <v>J8212</v>
      </c>
      <c r="E642" t="str">
        <f>"ED24F061"</f>
        <v>ED24F061</v>
      </c>
    </row>
    <row r="643" spans="1:5" x14ac:dyDescent="0.25">
      <c r="A643" t="str">
        <f>"298810"</f>
        <v>298810</v>
      </c>
      <c r="B643" s="1" t="str">
        <f>"81983678424"</f>
        <v>81983678424</v>
      </c>
      <c r="C643" t="str">
        <f>"EVERYDAY COUNTER-SYMPATHY-43984"</f>
        <v>EVERYDAY COUNTER-SYMPATHY-43984</v>
      </c>
      <c r="D643" t="str">
        <f>"43984"</f>
        <v>43984</v>
      </c>
      <c r="E643" t="str">
        <f>"ED24F062"</f>
        <v>ED24F062</v>
      </c>
    </row>
    <row r="644" spans="1:5" x14ac:dyDescent="0.25">
      <c r="A644" t="str">
        <f>"307932"</f>
        <v>307932</v>
      </c>
      <c r="B644" s="1" t="str">
        <f>"81983772245"</f>
        <v>81983772245</v>
      </c>
      <c r="C644" t="str">
        <f>"EVERYDAY COUNTER-SYMPATHY - LOSS OF HUSBAND-J9936"</f>
        <v>EVERYDAY COUNTER-SYMPATHY - LOSS OF HUSBAND-J9936</v>
      </c>
      <c r="D644" t="str">
        <f>"J9936"</f>
        <v>J9936</v>
      </c>
      <c r="E644" t="str">
        <f>"ED24F063"</f>
        <v>ED24F063</v>
      </c>
    </row>
    <row r="645" spans="1:5" x14ac:dyDescent="0.25">
      <c r="A645" t="str">
        <f>"298814"</f>
        <v>298814</v>
      </c>
      <c r="B645" s="1" t="str">
        <f>"81983603549"</f>
        <v>81983603549</v>
      </c>
      <c r="C645" t="str">
        <f>"EVERYDAY COUNTER-SYMPATHY - LOSS OF DAD-43992"</f>
        <v>EVERYDAY COUNTER-SYMPATHY - LOSS OF DAD-43992</v>
      </c>
      <c r="D645" t="str">
        <f>"43992"</f>
        <v>43992</v>
      </c>
      <c r="E645" t="str">
        <f>"ED24F064"</f>
        <v>ED24F064</v>
      </c>
    </row>
    <row r="646" spans="1:5" x14ac:dyDescent="0.25">
      <c r="A646" t="str">
        <f>"279582"</f>
        <v>279582</v>
      </c>
      <c r="B646" s="1" t="str">
        <f>"81983757341"</f>
        <v>81983757341</v>
      </c>
      <c r="C646" t="str">
        <f>"EVERYDAY COUNTER-ENCOURAGEMENT - DEPRESSION PKG/6-J8182"</f>
        <v>EVERYDAY COUNTER-ENCOURAGEMENT - DEPRESSION PKG/6-J8182</v>
      </c>
      <c r="D646" t="str">
        <f>"J8182"</f>
        <v>J8182</v>
      </c>
      <c r="E646" t="str">
        <f>"ED24F065"</f>
        <v>ED24F065</v>
      </c>
    </row>
    <row r="647" spans="1:5" x14ac:dyDescent="0.25">
      <c r="A647" t="str">
        <f>"279599"</f>
        <v>279599</v>
      </c>
      <c r="B647" s="1" t="str">
        <f>"81983757488"</f>
        <v>81983757488</v>
      </c>
      <c r="C647" t="str">
        <f>"EVERYDAY COUNTER-PRAYING FOR YOU PKG/6-J8196"</f>
        <v>EVERYDAY COUNTER-PRAYING FOR YOU PKG/6-J8196</v>
      </c>
      <c r="D647" t="str">
        <f>"J8196"</f>
        <v>J8196</v>
      </c>
      <c r="E647" t="str">
        <f>"ED24F066"</f>
        <v>ED24F066</v>
      </c>
    </row>
    <row r="648" spans="1:5" x14ac:dyDescent="0.25">
      <c r="A648" t="str">
        <f>"308461"</f>
        <v>308461</v>
      </c>
      <c r="B648" s="1" t="str">
        <f>"81983721939"</f>
        <v>81983721939</v>
      </c>
      <c r="C648" t="str">
        <f>"EVERYDAY COUNTER-PRAYING FOR YOU/THE LORD HIMSELF PKG/6-J3445"</f>
        <v>EVERYDAY COUNTER-PRAYING FOR YOU/THE LORD HIMSELF PKG/6-J3445</v>
      </c>
      <c r="D648" t="str">
        <f>"J3445"</f>
        <v>J3445</v>
      </c>
      <c r="E648" t="str">
        <f>"ED24F067"</f>
        <v>ED24F067</v>
      </c>
    </row>
    <row r="649" spans="1:5" x14ac:dyDescent="0.25">
      <c r="A649" t="str">
        <f>"298775"</f>
        <v>298775</v>
      </c>
      <c r="B649" s="1" t="str">
        <f>"81983594205"</f>
        <v>81983594205</v>
      </c>
      <c r="C649" t="str">
        <f>"EVERYDAY COUNTER-GET WELL-FOR ANYONE-16023"</f>
        <v>EVERYDAY COUNTER-GET WELL-FOR ANYONE-16023</v>
      </c>
      <c r="D649" t="str">
        <f>"16023"</f>
        <v>16023</v>
      </c>
      <c r="E649" t="str">
        <f>"ED24F068"</f>
        <v>ED24F068</v>
      </c>
    </row>
    <row r="650" spans="1:5" x14ac:dyDescent="0.25">
      <c r="A650" t="str">
        <f>"298729"</f>
        <v>298729</v>
      </c>
      <c r="B650" s="1" t="str">
        <f>"81983772221"</f>
        <v>81983772221</v>
      </c>
      <c r="C650" t="str">
        <f>"EVERYDAY COUNTER-SYM-FOR ANYONE-J9934"</f>
        <v>EVERYDAY COUNTER-SYM-FOR ANYONE-J9934</v>
      </c>
      <c r="D650" t="str">
        <f>"J9934"</f>
        <v>J9934</v>
      </c>
      <c r="E650" t="str">
        <f>"ED24F069"</f>
        <v>ED24F069</v>
      </c>
    </row>
    <row r="651" spans="1:5" x14ac:dyDescent="0.25">
      <c r="A651" t="str">
        <f>"298738"</f>
        <v>298738</v>
      </c>
      <c r="B651" s="1" t="str">
        <f>"81983593161"</f>
        <v>81983593161</v>
      </c>
      <c r="C651" t="str">
        <f>"EVERYDAY COUNTER-SYM-FOR ANYONE-11712"</f>
        <v>EVERYDAY COUNTER-SYM-FOR ANYONE-11712</v>
      </c>
      <c r="D651" t="str">
        <f>"11712"</f>
        <v>11712</v>
      </c>
      <c r="E651" t="str">
        <f>"ED24F070"</f>
        <v>ED24F070</v>
      </c>
    </row>
    <row r="652" spans="1:5" x14ac:dyDescent="0.25">
      <c r="A652" t="str">
        <f>"308224"</f>
        <v>308224</v>
      </c>
      <c r="B652" s="1" t="str">
        <f>"81983774614"</f>
        <v>81983774614</v>
      </c>
      <c r="C652" t="str">
        <f>"EVERYDAY COUNTER-SYM-LOSS OF HUSBAND PKG/6-92001"</f>
        <v>EVERYDAY COUNTER-SYM-LOSS OF HUSBAND PKG/6-92001</v>
      </c>
      <c r="D652" t="str">
        <f>"92001"</f>
        <v>92001</v>
      </c>
      <c r="E652" t="str">
        <f>"ED24F071"</f>
        <v>ED24F071</v>
      </c>
    </row>
    <row r="653" spans="1:5" x14ac:dyDescent="0.25">
      <c r="A653" t="str">
        <f>"307891"</f>
        <v>307891</v>
      </c>
      <c r="B653" s="1" t="str">
        <f>"81983513039"</f>
        <v>81983513039</v>
      </c>
      <c r="C653" t="str">
        <f>"EVERYDAY COUNTER-SYMPATHY - LOSS OF DAD-43994"</f>
        <v>EVERYDAY COUNTER-SYMPATHY - LOSS OF DAD-43994</v>
      </c>
      <c r="D653" t="str">
        <f>"43994"</f>
        <v>43994</v>
      </c>
      <c r="E653" t="str">
        <f>"ED24F072"</f>
        <v>ED24F072</v>
      </c>
    </row>
    <row r="654" spans="1:5" x14ac:dyDescent="0.25">
      <c r="A654" t="str">
        <f>"308019"</f>
        <v>308019</v>
      </c>
      <c r="B654" s="1" t="str">
        <f>"81983771859"</f>
        <v>81983771859</v>
      </c>
      <c r="C654" t="str">
        <f>"EVERYDAY COUNTER-DEPRESSION ENCOURAGEMENT-J9897"</f>
        <v>EVERYDAY COUNTER-DEPRESSION ENCOURAGEMENT-J9897</v>
      </c>
      <c r="D654" t="str">
        <f>"J9897"</f>
        <v>J9897</v>
      </c>
      <c r="E654" t="str">
        <f>"ED24F073"</f>
        <v>ED24F073</v>
      </c>
    </row>
    <row r="655" spans="1:5" x14ac:dyDescent="0.25">
      <c r="A655" t="str">
        <f>"279600"</f>
        <v>279600</v>
      </c>
      <c r="B655" s="1" t="str">
        <f>"81983757495"</f>
        <v>81983757495</v>
      </c>
      <c r="C655" t="str">
        <f>"EVERYDAY COUNTER-PRAYING FOR YOU PKG/6-J8197"</f>
        <v>EVERYDAY COUNTER-PRAYING FOR YOU PKG/6-J8197</v>
      </c>
      <c r="D655" t="str">
        <f>"J8197"</f>
        <v>J8197</v>
      </c>
      <c r="E655" t="str">
        <f>"ED24F074"</f>
        <v>ED24F074</v>
      </c>
    </row>
    <row r="656" spans="1:5" x14ac:dyDescent="0.25">
      <c r="A656" t="str">
        <f>"401613"</f>
        <v>401613</v>
      </c>
      <c r="B656" s="1" t="str">
        <f>"81983772047"</f>
        <v>81983772047</v>
      </c>
      <c r="C656" t="str">
        <f>"EVERYDAY COUNTER-PRAYING FOR YOU-J9916"</f>
        <v>EVERYDAY COUNTER-PRAYING FOR YOU-J9916</v>
      </c>
      <c r="D656" t="str">
        <f>"J9916"</f>
        <v>J9916</v>
      </c>
      <c r="E656" t="str">
        <f>"ED24F075"</f>
        <v>ED24F075</v>
      </c>
    </row>
    <row r="657" spans="1:5" x14ac:dyDescent="0.25">
      <c r="A657" t="str">
        <f>"308067"</f>
        <v>308067</v>
      </c>
      <c r="B657" s="1" t="str">
        <f>"81983643262"</f>
        <v>81983643262</v>
      </c>
      <c r="C657" t="str">
        <f>"EVERYDAY COUNTER-GET WELL-72817"</f>
        <v>EVERYDAY COUNTER-GET WELL-72817</v>
      </c>
      <c r="D657" t="str">
        <f>"72817"</f>
        <v>72817</v>
      </c>
      <c r="E657" t="str">
        <f>"ED24F076"</f>
        <v>ED24F076</v>
      </c>
    </row>
    <row r="658" spans="1:5" x14ac:dyDescent="0.25">
      <c r="A658" t="str">
        <f>"298800"</f>
        <v>298800</v>
      </c>
      <c r="B658" s="1" t="str">
        <f>"81983512568"</f>
        <v>81983512568</v>
      </c>
      <c r="C658" t="str">
        <f>"EVERYDAY COUNTER-SYMPATHY-42541"</f>
        <v>EVERYDAY COUNTER-SYMPATHY-42541</v>
      </c>
      <c r="D658" t="str">
        <f>"42541"</f>
        <v>42541</v>
      </c>
      <c r="E658" t="str">
        <f>"ED24F077"</f>
        <v>ED24F077</v>
      </c>
    </row>
    <row r="659" spans="1:5" x14ac:dyDescent="0.25">
      <c r="A659" t="str">
        <f>"308011"</f>
        <v>308011</v>
      </c>
      <c r="B659" s="1" t="str">
        <f>"81983678592"</f>
        <v>81983678592</v>
      </c>
      <c r="C659" t="str">
        <f>"EVERYDAY COUNTER-SYMPATHY ANYONE-60335"</f>
        <v>EVERYDAY COUNTER-SYMPATHY ANYONE-60335</v>
      </c>
      <c r="D659" t="str">
        <f>"60335"</f>
        <v>60335</v>
      </c>
      <c r="E659" t="str">
        <f>"ED24F078"</f>
        <v>ED24F078</v>
      </c>
    </row>
    <row r="660" spans="1:5" x14ac:dyDescent="0.25">
      <c r="A660" t="str">
        <f>"308225"</f>
        <v>308225</v>
      </c>
      <c r="B660" s="1" t="str">
        <f>"81983677458"</f>
        <v>81983677458</v>
      </c>
      <c r="C660" t="str">
        <f>"EVERYDAY COUNTER-SYM-LOSS OF HUSBAND PKG/6-92002"</f>
        <v>EVERYDAY COUNTER-SYM-LOSS OF HUSBAND PKG/6-92002</v>
      </c>
      <c r="D660" t="str">
        <f>"92002"</f>
        <v>92002</v>
      </c>
      <c r="E660" t="str">
        <f>"ED24F079"</f>
        <v>ED24F079</v>
      </c>
    </row>
    <row r="661" spans="1:5" x14ac:dyDescent="0.25">
      <c r="A661" t="str">
        <f>"279629"</f>
        <v>279629</v>
      </c>
      <c r="B661" s="1" t="str">
        <f>"81983757723"</f>
        <v>81983757723</v>
      </c>
      <c r="C661" t="str">
        <f>"EVERYDAY COUNTER-SYMPATHY - LOSS OF DAD PKG/6-J8220"</f>
        <v>EVERYDAY COUNTER-SYMPATHY - LOSS OF DAD PKG/6-J8220</v>
      </c>
      <c r="D661" t="str">
        <f>"J8220"</f>
        <v>J8220</v>
      </c>
      <c r="E661" t="str">
        <f>"ED24F080"</f>
        <v>ED24F080</v>
      </c>
    </row>
    <row r="662" spans="1:5" x14ac:dyDescent="0.25">
      <c r="A662" t="str">
        <f>"307903"</f>
        <v>307903</v>
      </c>
      <c r="B662" s="1" t="str">
        <f>"81983612596"</f>
        <v>81983612596</v>
      </c>
      <c r="C662" t="str">
        <f>"EVERYDAY COUNTER-ENCOURAGEMENT - DIVORCE/SEPARATION-44150"</f>
        <v>EVERYDAY COUNTER-ENCOURAGEMENT - DIVORCE/SEPARATION-44150</v>
      </c>
      <c r="D662" t="str">
        <f>"44150"</f>
        <v>44150</v>
      </c>
      <c r="E662" t="str">
        <f>"ED24F081"</f>
        <v>ED24F081</v>
      </c>
    </row>
    <row r="663" spans="1:5" x14ac:dyDescent="0.25">
      <c r="A663" t="str">
        <f>"40160X"</f>
        <v>40160X</v>
      </c>
      <c r="B663" s="1" t="str">
        <f>"81983618932"</f>
        <v>81983618932</v>
      </c>
      <c r="C663" t="str">
        <f>"EVERYDAY COUNTER-PFY-PATRIOTIC-55701"</f>
        <v>EVERYDAY COUNTER-PFY-PATRIOTIC-55701</v>
      </c>
      <c r="D663" t="str">
        <f>"55701"</f>
        <v>55701</v>
      </c>
      <c r="E663" t="str">
        <f>"ED24F082"</f>
        <v>ED24F082</v>
      </c>
    </row>
    <row r="664" spans="1:5" x14ac:dyDescent="0.25">
      <c r="A664" t="str">
        <f>"307979"</f>
        <v>307979</v>
      </c>
      <c r="B664" s="1" t="str">
        <f>"81983618772"</f>
        <v>81983618772</v>
      </c>
      <c r="C664" t="str">
        <f>"EVERYDAY COUNTER-PFY-FOR ANYONE-55402"</f>
        <v>EVERYDAY COUNTER-PFY-FOR ANYONE-55402</v>
      </c>
      <c r="D664" t="str">
        <f>"55402"</f>
        <v>55402</v>
      </c>
      <c r="E664" t="str">
        <f>"ED24F083"</f>
        <v>ED24F083</v>
      </c>
    </row>
    <row r="665" spans="1:5" x14ac:dyDescent="0.25">
      <c r="A665" t="str">
        <f>"308258"</f>
        <v>308258</v>
      </c>
      <c r="B665" s="1" t="str">
        <f>"81983679063"</f>
        <v>81983679063</v>
      </c>
      <c r="C665" t="str">
        <f>"EVERYDAY COUNTER-GET WELL PKG/6-92200"</f>
        <v>EVERYDAY COUNTER-GET WELL PKG/6-92200</v>
      </c>
      <c r="D665" t="str">
        <f>"92200"</f>
        <v>92200</v>
      </c>
      <c r="E665" t="str">
        <f>"ED24F084"</f>
        <v>ED24F084</v>
      </c>
    </row>
    <row r="666" spans="1:5" x14ac:dyDescent="0.25">
      <c r="A666" t="str">
        <f>"345244"</f>
        <v>345244</v>
      </c>
      <c r="B666" s="1" t="str">
        <f>"81983793677"</f>
        <v>81983793677</v>
      </c>
      <c r="C666" t="str">
        <f>"EVERYDAY COUNTER-GET WELL PKG/6-U2583"</f>
        <v>EVERYDAY COUNTER-GET WELL PKG/6-U2583</v>
      </c>
      <c r="D666" t="str">
        <f>"U2583"</f>
        <v>U2583</v>
      </c>
      <c r="E666" t="str">
        <f>"ED24F085"</f>
        <v>ED24F085</v>
      </c>
    </row>
    <row r="667" spans="1:5" x14ac:dyDescent="0.25">
      <c r="A667" t="str">
        <f>"345262"</f>
        <v>345262</v>
      </c>
      <c r="B667" s="1" t="str">
        <f>"81983793813"</f>
        <v>81983793813</v>
      </c>
      <c r="C667" t="str">
        <f>"EVERYDAY COUNTER-SYMPATHY PKG/6-U2597"</f>
        <v>EVERYDAY COUNTER-SYMPATHY PKG/6-U2597</v>
      </c>
      <c r="D667" t="str">
        <f>"U2597"</f>
        <v>U2597</v>
      </c>
      <c r="E667" t="str">
        <f>"ED24F086"</f>
        <v>ED24F086</v>
      </c>
    </row>
    <row r="668" spans="1:5" x14ac:dyDescent="0.25">
      <c r="A668" t="str">
        <f>"345261"</f>
        <v>345261</v>
      </c>
      <c r="B668" s="1" t="str">
        <f>"81983793806"</f>
        <v>81983793806</v>
      </c>
      <c r="C668" t="str">
        <f>"EVERYDAY COUNTER-SYMPATHY PKG/6-U2596"</f>
        <v>EVERYDAY COUNTER-SYMPATHY PKG/6-U2596</v>
      </c>
      <c r="D668" t="str">
        <f>"U2596"</f>
        <v>U2596</v>
      </c>
      <c r="E668" t="str">
        <f>"ED24F087"</f>
        <v>ED24F087</v>
      </c>
    </row>
    <row r="669" spans="1:5" x14ac:dyDescent="0.25">
      <c r="A669" t="str">
        <f>"298736"</f>
        <v>298736</v>
      </c>
      <c r="B669" s="1" t="str">
        <f>"81983593123"</f>
        <v>81983593123</v>
      </c>
      <c r="C669" t="str">
        <f>"EVERYDAY COUNTER-SYM-FOR ANYONE-11708"</f>
        <v>EVERYDAY COUNTER-SYM-FOR ANYONE-11708</v>
      </c>
      <c r="D669" t="str">
        <f>"11708"</f>
        <v>11708</v>
      </c>
      <c r="E669" t="str">
        <f>"ED24F088"</f>
        <v>ED24F088</v>
      </c>
    </row>
    <row r="670" spans="1:5" x14ac:dyDescent="0.25">
      <c r="A670" t="str">
        <f>"308078"</f>
        <v>308078</v>
      </c>
      <c r="B670" s="1" t="str">
        <f>"81983643439"</f>
        <v>81983643439</v>
      </c>
      <c r="C670" t="str">
        <f>"EVERYDAY COUNTER-SYMPATHY LOSS OF BABY-72902"</f>
        <v>EVERYDAY COUNTER-SYMPATHY LOSS OF BABY-72902</v>
      </c>
      <c r="D670" t="str">
        <f>"72902"</f>
        <v>72902</v>
      </c>
      <c r="E670" t="str">
        <f>"ED24F089"</f>
        <v>ED24F089</v>
      </c>
    </row>
    <row r="671" spans="1:5" x14ac:dyDescent="0.25">
      <c r="A671" t="str">
        <f>"279584"</f>
        <v>279584</v>
      </c>
      <c r="B671" s="1" t="str">
        <f>"81983757365"</f>
        <v>81983757365</v>
      </c>
      <c r="C671" t="str">
        <f>"EVERYDAY COUNTER-ENCOURAGEMENT - DIVORCE PKG/6-J8184"</f>
        <v>EVERYDAY COUNTER-ENCOURAGEMENT - DIVORCE PKG/6-J8184</v>
      </c>
      <c r="D671" t="str">
        <f>"J8184"</f>
        <v>J8184</v>
      </c>
      <c r="E671" t="str">
        <f>"ED24F090"</f>
        <v>ED24F090</v>
      </c>
    </row>
    <row r="672" spans="1:5" x14ac:dyDescent="0.25">
      <c r="A672" t="str">
        <f>"345252"</f>
        <v>345252</v>
      </c>
      <c r="B672" s="1" t="str">
        <f>"81983793738"</f>
        <v>81983793738</v>
      </c>
      <c r="C672" t="str">
        <f>"EVERYDAY COUNTER-PRAYING FOR YOU/MILITARY PKG/6"</f>
        <v>EVERYDAY COUNTER-PRAYING FOR YOU/MILITARY PKG/6</v>
      </c>
      <c r="D672" t="str">
        <f>"U2589"</f>
        <v>U2589</v>
      </c>
      <c r="E672" t="str">
        <f>"ED24F091"</f>
        <v>ED24F091</v>
      </c>
    </row>
    <row r="673" spans="1:5" x14ac:dyDescent="0.25">
      <c r="A673" t="str">
        <f>"307983"</f>
        <v>307983</v>
      </c>
      <c r="B673" s="1" t="str">
        <f>"81983618802"</f>
        <v>81983618802</v>
      </c>
      <c r="C673" t="str">
        <f>"EVERYDAY COUNTER-PFY-FOR ANYONE-55405"</f>
        <v>EVERYDAY COUNTER-PFY-FOR ANYONE-55405</v>
      </c>
      <c r="D673" t="str">
        <f>"55405"</f>
        <v>55405</v>
      </c>
      <c r="E673" t="str">
        <f>"ED24F092"</f>
        <v>ED24F092</v>
      </c>
    </row>
    <row r="674" spans="1:5" x14ac:dyDescent="0.25">
      <c r="A674" t="str">
        <f>"308066"</f>
        <v>308066</v>
      </c>
      <c r="B674" s="1" t="str">
        <f>"81983773495"</f>
        <v>81983773495</v>
      </c>
      <c r="C674" t="str">
        <f>"EVERYDAY COUNTER-GET WELL-72816"</f>
        <v>EVERYDAY COUNTER-GET WELL-72816</v>
      </c>
      <c r="D674" t="str">
        <f>"72816"</f>
        <v>72816</v>
      </c>
      <c r="E674" t="str">
        <f>"ED24F093"</f>
        <v>ED24F093</v>
      </c>
    </row>
    <row r="675" spans="1:5" x14ac:dyDescent="0.25">
      <c r="A675" t="str">
        <f>"298794"</f>
        <v>298794</v>
      </c>
      <c r="B675" s="1" t="str">
        <f>"81983772009"</f>
        <v>81983772009</v>
      </c>
      <c r="C675" t="str">
        <f>"EVERYDAY COUNTER-GET WELL FOR ANYONE-J9912"</f>
        <v>EVERYDAY COUNTER-GET WELL FOR ANYONE-J9912</v>
      </c>
      <c r="D675" t="str">
        <f>"J9912"</f>
        <v>J9912</v>
      </c>
      <c r="E675" t="str">
        <f>"ED24F094"</f>
        <v>ED24F094</v>
      </c>
    </row>
    <row r="676" spans="1:5" x14ac:dyDescent="0.25">
      <c r="A676" t="str">
        <f>"298806"</f>
        <v>298806</v>
      </c>
      <c r="B676" s="1" t="str">
        <f>"81983678417"</f>
        <v>81983678417</v>
      </c>
      <c r="C676" t="str">
        <f>"EVERYDAY COUNTER-SYMPATHY-43976"</f>
        <v>EVERYDAY COUNTER-SYMPATHY-43976</v>
      </c>
      <c r="D676" t="str">
        <f>"43976"</f>
        <v>43976</v>
      </c>
      <c r="E676" t="str">
        <f>"ED24F095"</f>
        <v>ED24F095</v>
      </c>
    </row>
    <row r="677" spans="1:5" x14ac:dyDescent="0.25">
      <c r="A677" t="str">
        <f>"308069"</f>
        <v>308069</v>
      </c>
      <c r="B677" s="1" t="str">
        <f>"81983774928"</f>
        <v>81983774928</v>
      </c>
      <c r="C677" t="str">
        <f>"EVERYDAY COUNTER-SYMPATHY-72850"</f>
        <v>EVERYDAY COUNTER-SYMPATHY-72850</v>
      </c>
      <c r="D677" t="str">
        <f>"72850"</f>
        <v>72850</v>
      </c>
      <c r="E677" t="str">
        <f>"ED24F096"</f>
        <v>ED24F096</v>
      </c>
    </row>
    <row r="678" spans="1:5" x14ac:dyDescent="0.25">
      <c r="A678" t="str">
        <f>"308271"</f>
        <v>308271</v>
      </c>
      <c r="B678" s="1" t="str">
        <f>"81983774393"</f>
        <v>81983774393</v>
      </c>
      <c r="C678" t="str">
        <f>"EVERYDAY COUNTER-SYMPATHY-72952"</f>
        <v>EVERYDAY COUNTER-SYMPATHY-72952</v>
      </c>
      <c r="D678" t="str">
        <f>"72952"</f>
        <v>72952</v>
      </c>
      <c r="E678" t="str">
        <f>"ED24F097"</f>
        <v>ED24F097</v>
      </c>
    </row>
    <row r="679" spans="1:5" x14ac:dyDescent="0.25">
      <c r="A679" t="str">
        <f>"298730"</f>
        <v>298730</v>
      </c>
      <c r="B679" s="1" t="str">
        <f>"81983774607"</f>
        <v>81983774607</v>
      </c>
      <c r="C679" t="str">
        <f>"EVERYDAY COUNTER-SYM-LOSS OF DAUGHTER-11528"</f>
        <v>EVERYDAY COUNTER-SYM-LOSS OF DAUGHTER-11528</v>
      </c>
      <c r="D679" t="str">
        <f>"11528"</f>
        <v>11528</v>
      </c>
      <c r="E679" t="str">
        <f>"ED24F098"</f>
        <v>ED24F098</v>
      </c>
    </row>
    <row r="680" spans="1:5" x14ac:dyDescent="0.25">
      <c r="A680" t="str">
        <f>"298751"</f>
        <v>298751</v>
      </c>
      <c r="B680" s="1" t="str">
        <f>"81983751752"</f>
        <v>81983751752</v>
      </c>
      <c r="C680" t="str">
        <f>"EVERYDAY COUNTER-ENC-DIVORCE-11748"</f>
        <v>EVERYDAY COUNTER-ENC-DIVORCE-11748</v>
      </c>
      <c r="D680" t="str">
        <f>"11748"</f>
        <v>11748</v>
      </c>
      <c r="E680" t="str">
        <f>"ED24F099"</f>
        <v>ED24F099</v>
      </c>
    </row>
    <row r="681" spans="1:5" x14ac:dyDescent="0.25">
      <c r="A681" t="str">
        <f>"307993"</f>
        <v>307993</v>
      </c>
      <c r="B681" s="1" t="str">
        <f>"81983618918"</f>
        <v>81983618918</v>
      </c>
      <c r="C681" t="str">
        <f>"EVERYDAY COUNTER-PFY-FOR ANYONE-55608"</f>
        <v>EVERYDAY COUNTER-PFY-FOR ANYONE-55608</v>
      </c>
      <c r="D681" t="str">
        <f>"55608"</f>
        <v>55608</v>
      </c>
      <c r="E681" t="str">
        <f>"ED24F100"</f>
        <v>ED24F100</v>
      </c>
    </row>
    <row r="682" spans="1:5" x14ac:dyDescent="0.25">
      <c r="A682" t="str">
        <f>"308218"</f>
        <v>308218</v>
      </c>
      <c r="B682" s="1" t="str">
        <f>"81983677403"</f>
        <v>81983677403</v>
      </c>
      <c r="C682" t="str">
        <f>"EVERYDAY COUNTER-PRAYING FOR YOU PKG/6-91997"</f>
        <v>EVERYDAY COUNTER-PRAYING FOR YOU PKG/6-91997</v>
      </c>
      <c r="D682" t="str">
        <f>"91997"</f>
        <v>91997</v>
      </c>
      <c r="E682" t="str">
        <f>"ED24F101"</f>
        <v>ED24F101</v>
      </c>
    </row>
    <row r="683" spans="1:5" x14ac:dyDescent="0.25">
      <c r="A683" t="str">
        <f>"298797"</f>
        <v>298797</v>
      </c>
      <c r="B683" s="1" t="str">
        <f>"81983506277"</f>
        <v>81983506277</v>
      </c>
      <c r="C683" t="str">
        <f>"EVERYDAY COUNTER-GET WELL RECOVERY-39375"</f>
        <v>EVERYDAY COUNTER-GET WELL RECOVERY-39375</v>
      </c>
      <c r="D683" t="str">
        <f>"39375"</f>
        <v>39375</v>
      </c>
      <c r="E683" t="str">
        <f>"ED24F102"</f>
        <v>ED24F102</v>
      </c>
    </row>
    <row r="684" spans="1:5" x14ac:dyDescent="0.25">
      <c r="A684" t="str">
        <f>"279593"</f>
        <v>279593</v>
      </c>
      <c r="B684" s="1" t="str">
        <f>"81983757440"</f>
        <v>81983757440</v>
      </c>
      <c r="C684" t="str">
        <f>"EVERYDAY COUNTER-GET WELL PKG/6-J8192"</f>
        <v>EVERYDAY COUNTER-GET WELL PKG/6-J8192</v>
      </c>
      <c r="D684" t="str">
        <f>"J8192"</f>
        <v>J8192</v>
      </c>
      <c r="E684" t="str">
        <f>"ED24F103"</f>
        <v>ED24F103</v>
      </c>
    </row>
    <row r="685" spans="1:5" x14ac:dyDescent="0.25">
      <c r="A685" t="str">
        <f>"298807"</f>
        <v>298807</v>
      </c>
      <c r="B685" s="1" t="str">
        <f>"81983603679"</f>
        <v>81983603679</v>
      </c>
      <c r="C685" t="str">
        <f>"EVERYDAY COUNTER-SYMPATHY-43980"</f>
        <v>EVERYDAY COUNTER-SYMPATHY-43980</v>
      </c>
      <c r="D685" t="str">
        <f>"43980"</f>
        <v>43980</v>
      </c>
      <c r="E685" t="str">
        <f>"ED24F104"</f>
        <v>ED24F104</v>
      </c>
    </row>
    <row r="686" spans="1:5" x14ac:dyDescent="0.25">
      <c r="A686" t="str">
        <f>"279550"</f>
        <v>279550</v>
      </c>
      <c r="B686" s="1" t="str">
        <f>"81983749186"</f>
        <v>81983749186</v>
      </c>
      <c r="C686" t="str">
        <f>"EVERYDAY COUNTER-SYMPATHY PKG/6-J6746"</f>
        <v>EVERYDAY COUNTER-SYMPATHY PKG/6-J6746</v>
      </c>
      <c r="D686" t="str">
        <f>"J6746"</f>
        <v>J6746</v>
      </c>
      <c r="E686" t="str">
        <f>"ED24F105"</f>
        <v>ED24F105</v>
      </c>
    </row>
    <row r="687" spans="1:5" x14ac:dyDescent="0.25">
      <c r="A687" t="str">
        <f>"308250"</f>
        <v>308250</v>
      </c>
      <c r="B687" s="1" t="str">
        <f>"81983774386"</f>
        <v>81983774386</v>
      </c>
      <c r="C687" t="str">
        <f>"EVERYDAY COUNTER-SYMPATHY PKG/6-92192"</f>
        <v>EVERYDAY COUNTER-SYMPATHY PKG/6-92192</v>
      </c>
      <c r="D687" t="str">
        <f>"92192"</f>
        <v>92192</v>
      </c>
      <c r="E687" t="str">
        <f>"ED24F106"</f>
        <v>ED24F106</v>
      </c>
    </row>
    <row r="688" spans="1:5" x14ac:dyDescent="0.25">
      <c r="A688" t="str">
        <f>"308226"</f>
        <v>308226</v>
      </c>
      <c r="B688" s="1" t="str">
        <f>"81983677465"</f>
        <v>81983677465</v>
      </c>
      <c r="C688" t="str">
        <f>"EVERYDAY COUNTER-SYM-LOSS OF SON PKG/6-92003"</f>
        <v>EVERYDAY COUNTER-SYM-LOSS OF SON PKG/6-92003</v>
      </c>
      <c r="D688" t="str">
        <f>"92003"</f>
        <v>92003</v>
      </c>
      <c r="E688" t="str">
        <f>"ED24F107"</f>
        <v>ED24F107</v>
      </c>
    </row>
    <row r="689" spans="1:5" x14ac:dyDescent="0.25">
      <c r="A689" t="str">
        <f>"307900"</f>
        <v>307900</v>
      </c>
      <c r="B689" s="1" t="str">
        <f>"81983612558"</f>
        <v>81983612558</v>
      </c>
      <c r="C689" t="str">
        <f>"EVERYDAY COUNTER-ENC-TRANSITION-44146"</f>
        <v>EVERYDAY COUNTER-ENC-TRANSITION-44146</v>
      </c>
      <c r="D689" t="str">
        <f>"44146"</f>
        <v>44146</v>
      </c>
      <c r="E689" t="str">
        <f>"ED24F108"</f>
        <v>ED24F108</v>
      </c>
    </row>
    <row r="690" spans="1:5" x14ac:dyDescent="0.25">
      <c r="A690" t="str">
        <f>"308086"</f>
        <v>308086</v>
      </c>
      <c r="B690" s="1" t="str">
        <f>"81983589225"</f>
        <v>81983589225</v>
      </c>
      <c r="C690" t="str">
        <f>"EVERYDAY COUNTER-PFY - FOR ANYONE-75302"</f>
        <v>EVERYDAY COUNTER-PFY - FOR ANYONE-75302</v>
      </c>
      <c r="D690" t="str">
        <f>"75302"</f>
        <v>75302</v>
      </c>
      <c r="E690" t="str">
        <f>"ED24F109"</f>
        <v>ED24F109</v>
      </c>
    </row>
    <row r="691" spans="1:5" x14ac:dyDescent="0.25">
      <c r="A691" t="str">
        <f>"308457"</f>
        <v>308457</v>
      </c>
      <c r="B691" s="1" t="str">
        <f>"81983721908"</f>
        <v>81983721908</v>
      </c>
      <c r="C691" t="str">
        <f>"EVERYDAY COUNTER-THINKING OF YOU/ORANGE FLOWERS PKG/6-J3442"</f>
        <v>EVERYDAY COUNTER-THINKING OF YOU/ORANGE FLOWERS PKG/6-J3442</v>
      </c>
      <c r="D691" t="str">
        <f>"J3442"</f>
        <v>J3442</v>
      </c>
      <c r="E691" t="str">
        <f>"ED24F110"</f>
        <v>ED24F110</v>
      </c>
    </row>
    <row r="692" spans="1:5" x14ac:dyDescent="0.25">
      <c r="A692" t="str">
        <f>"308456"</f>
        <v>308456</v>
      </c>
      <c r="B692" s="1" t="str">
        <f>"81983721892"</f>
        <v>81983721892</v>
      </c>
      <c r="C692" t="str">
        <f>"EVERYDAY COUNTER-GET WELL - RECOVERY/REST AND HEAL PKG/6-J3441"</f>
        <v>EVERYDAY COUNTER-GET WELL - RECOVERY/REST AND HEAL PKG/6-J3441</v>
      </c>
      <c r="D692" t="str">
        <f>"J3441"</f>
        <v>J3441</v>
      </c>
      <c r="E692" t="str">
        <f>"ED24F111"</f>
        <v>ED24F111</v>
      </c>
    </row>
    <row r="693" spans="1:5" x14ac:dyDescent="0.25">
      <c r="A693" t="str">
        <f>"298799"</f>
        <v>298799</v>
      </c>
      <c r="B693" s="1" t="str">
        <f>"81983774355"</f>
        <v>81983774355</v>
      </c>
      <c r="C693" t="str">
        <f>"EVERYDAY COUNTER-SYMPATHY-42537"</f>
        <v>EVERYDAY COUNTER-SYMPATHY-42537</v>
      </c>
      <c r="D693" t="str">
        <f>"42537"</f>
        <v>42537</v>
      </c>
      <c r="E693" t="str">
        <f>"ED24F112"</f>
        <v>ED24F112</v>
      </c>
    </row>
    <row r="694" spans="1:5" x14ac:dyDescent="0.25">
      <c r="A694" t="str">
        <f>"298733"</f>
        <v>298733</v>
      </c>
      <c r="B694" s="1" t="str">
        <f>"81983774423"</f>
        <v>81983774423</v>
      </c>
      <c r="C694" t="str">
        <f>"EVERYDAY COUNTER-SYM-FOR ANYONE (PACK OF 6)"</f>
        <v>EVERYDAY COUNTER-SYM-FOR ANYONE (PACK OF 6)</v>
      </c>
      <c r="D694" t="str">
        <f>"11701"</f>
        <v>11701</v>
      </c>
      <c r="E694" t="str">
        <f>"ED24F113"</f>
        <v>ED24F113</v>
      </c>
    </row>
    <row r="695" spans="1:5" x14ac:dyDescent="0.25">
      <c r="A695" t="str">
        <f>"298804"</f>
        <v>298804</v>
      </c>
      <c r="B695" s="1" t="str">
        <f>"81983774379"</f>
        <v>81983774379</v>
      </c>
      <c r="C695" t="str">
        <f>"EVERYDAY COUNTER-SYMPATHY-43967"</f>
        <v>EVERYDAY COUNTER-SYMPATHY-43967</v>
      </c>
      <c r="D695" t="str">
        <f>"43967"</f>
        <v>43967</v>
      </c>
      <c r="E695" t="str">
        <f>"ED24F114"</f>
        <v>ED24F114</v>
      </c>
    </row>
    <row r="696" spans="1:5" x14ac:dyDescent="0.25">
      <c r="A696" t="str">
        <f>"298802"</f>
        <v>298802</v>
      </c>
      <c r="B696" s="1" t="str">
        <f>"81983512636"</f>
        <v>81983512636</v>
      </c>
      <c r="C696" t="str">
        <f>"EVERYDAY COUNTER-SYMPATHY-42548"</f>
        <v>EVERYDAY COUNTER-SYMPATHY-42548</v>
      </c>
      <c r="D696" t="str">
        <f>"42548"</f>
        <v>42548</v>
      </c>
      <c r="E696" t="str">
        <f>"ED24F115"</f>
        <v>ED24F115</v>
      </c>
    </row>
    <row r="697" spans="1:5" x14ac:dyDescent="0.25">
      <c r="A697" t="str">
        <f>"308222"</f>
        <v>308222</v>
      </c>
      <c r="B697" s="1" t="str">
        <f>"81983774348"</f>
        <v>81983774348</v>
      </c>
      <c r="C697" t="str">
        <f>"EVERYDAY COUNTER-SYM-ANN OF DEATH PKG/6-92000"</f>
        <v>EVERYDAY COUNTER-SYM-ANN OF DEATH PKG/6-92000</v>
      </c>
      <c r="D697" t="str">
        <f>"92000"</f>
        <v>92000</v>
      </c>
      <c r="E697" t="str">
        <f>"ED24F116"</f>
        <v>ED24F116</v>
      </c>
    </row>
    <row r="698" spans="1:5" x14ac:dyDescent="0.25">
      <c r="A698" t="str">
        <f>"349544"</f>
        <v>349544</v>
      </c>
      <c r="B698" s="1" t="str">
        <f>"81983778377"</f>
        <v>81983778377</v>
      </c>
      <c r="C698" t="str">
        <f>"EVERYDAY COUNTER-BIRTHDAY FOR HER PKG/2"</f>
        <v>EVERYDAY COUNTER-BIRTHDAY FOR HER PKG/2</v>
      </c>
      <c r="D698" t="str">
        <f>"U0468"</f>
        <v>U0468</v>
      </c>
      <c r="E698" t="str">
        <f>"ED24HA01"</f>
        <v>ED24HA01</v>
      </c>
    </row>
    <row r="699" spans="1:5" x14ac:dyDescent="0.25">
      <c r="A699" t="str">
        <f>"349546"</f>
        <v>349546</v>
      </c>
      <c r="B699" s="1" t="str">
        <f>"81983778384"</f>
        <v>81983778384</v>
      </c>
      <c r="C699" t="str">
        <f>"EVERYDAY COUNTER-BIRTHDAY FOR HER PKG/2-U0469"</f>
        <v>EVERYDAY COUNTER-BIRTHDAY FOR HER PKG/2-U0469</v>
      </c>
      <c r="D699" t="str">
        <f>"U0469"</f>
        <v>U0469</v>
      </c>
      <c r="E699" t="str">
        <f>"ED24HA02"</f>
        <v>ED24HA02</v>
      </c>
    </row>
    <row r="700" spans="1:5" x14ac:dyDescent="0.25">
      <c r="A700" t="str">
        <f>"349529"</f>
        <v>349529</v>
      </c>
      <c r="B700" s="1" t="str">
        <f>"81983778476"</f>
        <v>81983778476</v>
      </c>
      <c r="C700" t="str">
        <f>"EVERYDAY COUNTER-BIRTHDAY PKG/6-U0478"</f>
        <v>EVERYDAY COUNTER-BIRTHDAY PKG/6-U0478</v>
      </c>
      <c r="D700" t="str">
        <f>"U0478"</f>
        <v>U0478</v>
      </c>
      <c r="E700" t="str">
        <f>"ED24HA03"</f>
        <v>ED24HA03</v>
      </c>
    </row>
    <row r="701" spans="1:5" x14ac:dyDescent="0.25">
      <c r="A701" t="str">
        <f>"349530"</f>
        <v>349530</v>
      </c>
      <c r="B701" s="1" t="str">
        <f>"81983778483"</f>
        <v>81983778483</v>
      </c>
      <c r="C701" t="str">
        <f>"EVERYDAY COUNTER-BIRTHDAY PKG/6-U0479"</f>
        <v>EVERYDAY COUNTER-BIRTHDAY PKG/6-U0479</v>
      </c>
      <c r="D701" t="str">
        <f>"U0479"</f>
        <v>U0479</v>
      </c>
      <c r="E701" t="str">
        <f>"ED24HA04"</f>
        <v>ED24HA04</v>
      </c>
    </row>
    <row r="702" spans="1:5" x14ac:dyDescent="0.25">
      <c r="A702" t="str">
        <f>"349531"</f>
        <v>349531</v>
      </c>
      <c r="B702" s="1" t="str">
        <f>"81983778490"</f>
        <v>81983778490</v>
      </c>
      <c r="C702" t="str">
        <f>"EVERYDAY COUNTER-BIRTHDAY PKG/6-U0480"</f>
        <v>EVERYDAY COUNTER-BIRTHDAY PKG/6-U0480</v>
      </c>
      <c r="D702" t="str">
        <f>"U0480"</f>
        <v>U0480</v>
      </c>
      <c r="E702" t="str">
        <f>"ED24HA05"</f>
        <v>ED24HA05</v>
      </c>
    </row>
    <row r="703" spans="1:5" x14ac:dyDescent="0.25">
      <c r="A703" t="str">
        <f>"349532"</f>
        <v>349532</v>
      </c>
      <c r="B703" s="1" t="str">
        <f>"81983778506"</f>
        <v>81983778506</v>
      </c>
      <c r="C703" t="str">
        <f>"EVERYDAY COUNTER-BIRTHDAY PKG/6-U0481"</f>
        <v>EVERYDAY COUNTER-BIRTHDAY PKG/6-U0481</v>
      </c>
      <c r="D703" t="str">
        <f>"U0481"</f>
        <v>U0481</v>
      </c>
      <c r="E703" t="str">
        <f>"ED24HA06"</f>
        <v>ED24HA06</v>
      </c>
    </row>
    <row r="704" spans="1:5" x14ac:dyDescent="0.25">
      <c r="A704" t="str">
        <f>"349533"</f>
        <v>349533</v>
      </c>
      <c r="B704" s="1" t="str">
        <f>"81983778513"</f>
        <v>81983778513</v>
      </c>
      <c r="C704" t="str">
        <f>"EVERYDAY COUNTER-BIRTHDAY PKG/6-U0482"</f>
        <v>EVERYDAY COUNTER-BIRTHDAY PKG/6-U0482</v>
      </c>
      <c r="D704" t="str">
        <f>"U0482"</f>
        <v>U0482</v>
      </c>
      <c r="E704" t="str">
        <f>"ED24HA07"</f>
        <v>ED24HA07</v>
      </c>
    </row>
    <row r="705" spans="1:5" x14ac:dyDescent="0.25">
      <c r="A705" t="str">
        <f>"349534"</f>
        <v>349534</v>
      </c>
      <c r="B705" s="1" t="str">
        <f>"81983778520"</f>
        <v>81983778520</v>
      </c>
      <c r="C705" t="str">
        <f>"EVERYDAY COUNTER-BIRTHDAY PKG/6-U0483"</f>
        <v>EVERYDAY COUNTER-BIRTHDAY PKG/6-U0483</v>
      </c>
      <c r="D705" t="str">
        <f>"U0483"</f>
        <v>U0483</v>
      </c>
      <c r="E705" t="str">
        <f>"ED24HA08"</f>
        <v>ED24HA08</v>
      </c>
    </row>
    <row r="706" spans="1:5" x14ac:dyDescent="0.25">
      <c r="A706" t="str">
        <f>"380078"</f>
        <v>380078</v>
      </c>
      <c r="B706" s="1" t="str">
        <f>"81983778353"</f>
        <v>81983778353</v>
      </c>
      <c r="C706" t="str">
        <f>"EVERYDAY COUNTER-BIRTHDAY FOR HIM PREMIUM (PACK OF 2)-U0466"</f>
        <v>EVERYDAY COUNTER-BIRTHDAY FOR HIM PREMIUM (PACK OF 2)-U0466</v>
      </c>
      <c r="D706" t="str">
        <f>"U0466"</f>
        <v>U0466</v>
      </c>
      <c r="E706" t="str">
        <f>"ED24HB01"</f>
        <v>ED24HB01</v>
      </c>
    </row>
    <row r="707" spans="1:5" x14ac:dyDescent="0.25">
      <c r="A707" t="str">
        <f>"349547"</f>
        <v>349547</v>
      </c>
      <c r="B707" s="1" t="str">
        <f>"81983778360"</f>
        <v>81983778360</v>
      </c>
      <c r="C707" t="str">
        <f>"EVERYDAY COUNTER-BIRTHDAY FOR HIM PKG/2"</f>
        <v>EVERYDAY COUNTER-BIRTHDAY FOR HIM PKG/2</v>
      </c>
      <c r="D707" t="str">
        <f>"U0467"</f>
        <v>U0467</v>
      </c>
      <c r="E707" t="str">
        <f>"ED24HB02"</f>
        <v>ED24HB02</v>
      </c>
    </row>
    <row r="708" spans="1:5" x14ac:dyDescent="0.25">
      <c r="A708" t="str">
        <f>"349538"</f>
        <v>349538</v>
      </c>
      <c r="B708" s="1" t="str">
        <f>"81983778537"</f>
        <v>81983778537</v>
      </c>
      <c r="C708" t="str">
        <f>"EVERYDAY COUNTER-BIRTHDAY PKG/6-U0484"</f>
        <v>EVERYDAY COUNTER-BIRTHDAY PKG/6-U0484</v>
      </c>
      <c r="D708" t="str">
        <f>"U0484"</f>
        <v>U0484</v>
      </c>
      <c r="E708" t="str">
        <f>"ED24HB03"</f>
        <v>ED24HB03</v>
      </c>
    </row>
    <row r="709" spans="1:5" x14ac:dyDescent="0.25">
      <c r="A709" t="str">
        <f>"349536"</f>
        <v>349536</v>
      </c>
      <c r="B709" s="1" t="str">
        <f>"81983778544"</f>
        <v>81983778544</v>
      </c>
      <c r="C709" t="str">
        <f>"EVERYDAY COUNTER-BIRTHDAY PKG/6-U0485"</f>
        <v>EVERYDAY COUNTER-BIRTHDAY PKG/6-U0485</v>
      </c>
      <c r="D709" t="str">
        <f>"U0485"</f>
        <v>U0485</v>
      </c>
      <c r="E709" t="str">
        <f>"ED24HB04"</f>
        <v>ED24HB04</v>
      </c>
    </row>
    <row r="710" spans="1:5" x14ac:dyDescent="0.25">
      <c r="A710" t="str">
        <f>"349535"</f>
        <v>349535</v>
      </c>
      <c r="B710" s="1" t="str">
        <f>"81983778551"</f>
        <v>81983778551</v>
      </c>
      <c r="C710" t="str">
        <f>"EVERYDAY COUNTER-BIRTHDAY PKG/6-U0486"</f>
        <v>EVERYDAY COUNTER-BIRTHDAY PKG/6-U0486</v>
      </c>
      <c r="D710" t="str">
        <f>"U0486"</f>
        <v>U0486</v>
      </c>
      <c r="E710" t="str">
        <f>"ED24HB05"</f>
        <v>ED24HB05</v>
      </c>
    </row>
    <row r="711" spans="1:5" x14ac:dyDescent="0.25">
      <c r="A711" t="str">
        <f>"349537"</f>
        <v>349537</v>
      </c>
      <c r="B711" s="1" t="str">
        <f>"81983778568"</f>
        <v>81983778568</v>
      </c>
      <c r="C711" t="str">
        <f>"EVERYDAY COUNTER-BIRTHDAY PKG/6-U0487"</f>
        <v>EVERYDAY COUNTER-BIRTHDAY PKG/6-U0487</v>
      </c>
      <c r="D711" t="str">
        <f>"U0487"</f>
        <v>U0487</v>
      </c>
      <c r="E711" t="str">
        <f>"ED24HB06"</f>
        <v>ED24HB06</v>
      </c>
    </row>
    <row r="712" spans="1:5" x14ac:dyDescent="0.25">
      <c r="A712" t="str">
        <f>"349539"</f>
        <v>349539</v>
      </c>
      <c r="B712" s="1" t="str">
        <f>"81983778575"</f>
        <v>81983778575</v>
      </c>
      <c r="C712" t="str">
        <f>"EVERYDAY COUNTER-BIRTHDAY PKG/6-U0488"</f>
        <v>EVERYDAY COUNTER-BIRTHDAY PKG/6-U0488</v>
      </c>
      <c r="D712" t="str">
        <f>"U0488"</f>
        <v>U0488</v>
      </c>
      <c r="E712" t="str">
        <f>"ED24HB07"</f>
        <v>ED24HB07</v>
      </c>
    </row>
    <row r="713" spans="1:5" x14ac:dyDescent="0.25">
      <c r="A713" t="str">
        <f>"349540"</f>
        <v>349540</v>
      </c>
      <c r="B713" s="1" t="str">
        <f>"81983778582"</f>
        <v>81983778582</v>
      </c>
      <c r="C713" t="str">
        <f>"EVERYDAY COUNTER-BIRTHDAY PKG/6-U0489"</f>
        <v>EVERYDAY COUNTER-BIRTHDAY PKG/6-U0489</v>
      </c>
      <c r="D713" t="str">
        <f>"U0489"</f>
        <v>U0489</v>
      </c>
      <c r="E713" t="str">
        <f>"ED24HB08"</f>
        <v>ED24HB08</v>
      </c>
    </row>
    <row r="714" spans="1:5" x14ac:dyDescent="0.25">
      <c r="A714" t="str">
        <f>"345277"</f>
        <v>345277</v>
      </c>
      <c r="B714" s="1" t="str">
        <f>"81983794643"</f>
        <v>81983794643</v>
      </c>
      <c r="C714" t="str">
        <f>"EVERYDAY COUNTER-WEDDING PKG/6-U2683"</f>
        <v>EVERYDAY COUNTER-WEDDING PKG/6-U2683</v>
      </c>
      <c r="D714" t="str">
        <f>"U2683"</f>
        <v>U2683</v>
      </c>
      <c r="E714" t="str">
        <f>"ED24HC01"</f>
        <v>ED24HC01</v>
      </c>
    </row>
    <row r="715" spans="1:5" x14ac:dyDescent="0.25">
      <c r="A715" t="str">
        <f>"345276"</f>
        <v>345276</v>
      </c>
      <c r="B715" s="1" t="str">
        <f>"81983794636"</f>
        <v>81983794636</v>
      </c>
      <c r="C715" t="str">
        <f>"EVERYDAY COUNTER-WEDDING PKG/6-U2682"</f>
        <v>EVERYDAY COUNTER-WEDDING PKG/6-U2682</v>
      </c>
      <c r="D715" t="str">
        <f>"U2682"</f>
        <v>U2682</v>
      </c>
      <c r="E715" t="str">
        <f>"ED24HC02"</f>
        <v>ED24HC02</v>
      </c>
    </row>
    <row r="716" spans="1:5" x14ac:dyDescent="0.25">
      <c r="A716" t="str">
        <f>"345275"</f>
        <v>345275</v>
      </c>
      <c r="B716" s="1" t="str">
        <f>"81983794629"</f>
        <v>81983794629</v>
      </c>
      <c r="C716" t="str">
        <f>"EVERYDAY COUNTER-WEDDING PKG/6-U2681"</f>
        <v>EVERYDAY COUNTER-WEDDING PKG/6-U2681</v>
      </c>
      <c r="D716" t="str">
        <f>"U2681"</f>
        <v>U2681</v>
      </c>
      <c r="E716" t="str">
        <f>"ED24HC03"</f>
        <v>ED24HC03</v>
      </c>
    </row>
    <row r="717" spans="1:5" x14ac:dyDescent="0.25">
      <c r="A717" t="str">
        <f>"401615"</f>
        <v>401615</v>
      </c>
      <c r="B717" s="1" t="str">
        <f>"81983768545"</f>
        <v>81983768545</v>
      </c>
      <c r="C717" t="str">
        <f>"EVERYDAY COUNTER-WEDDING-HL PREMIUM (PACK OF 2)-J9574"</f>
        <v>EVERYDAY COUNTER-WEDDING-HL PREMIUM (PACK OF 2)-J9574</v>
      </c>
      <c r="D717" t="str">
        <f>"J9574"</f>
        <v>J9574</v>
      </c>
      <c r="E717" t="str">
        <f>"ED24HC04"</f>
        <v>ED24HC04</v>
      </c>
    </row>
    <row r="718" spans="1:5" x14ac:dyDescent="0.25">
      <c r="A718" t="str">
        <f>"345224"</f>
        <v>345224</v>
      </c>
      <c r="B718" s="1" t="str">
        <f>"81983788994"</f>
        <v>81983788994</v>
      </c>
      <c r="C718" t="str">
        <f>"EVERYDAY COUNTER-WEDDING-PREMIUM PKG/2"</f>
        <v>EVERYDAY COUNTER-WEDDING-PREMIUM PKG/2</v>
      </c>
      <c r="D718" t="str">
        <f>"U1985"</f>
        <v>U1985</v>
      </c>
      <c r="E718" t="str">
        <f>"ED24HC05"</f>
        <v>ED24HC05</v>
      </c>
    </row>
    <row r="719" spans="1:5" x14ac:dyDescent="0.25">
      <c r="A719" t="str">
        <f>"345226"</f>
        <v>345226</v>
      </c>
      <c r="B719" s="1" t="str">
        <f>"81983789014"</f>
        <v>81983789014</v>
      </c>
      <c r="C719" t="str">
        <f>"EVERYDAY COUNTER-WEDDING-PREMIUM PKG/2"</f>
        <v>EVERYDAY COUNTER-WEDDING-PREMIUM PKG/2</v>
      </c>
      <c r="D719" t="str">
        <f>"U1987"</f>
        <v>U1987</v>
      </c>
      <c r="E719" t="str">
        <f>"ED24HC06"</f>
        <v>ED24HC06</v>
      </c>
    </row>
    <row r="720" spans="1:5" x14ac:dyDescent="0.25">
      <c r="A720" t="str">
        <f>"345225"</f>
        <v>345225</v>
      </c>
      <c r="B720" s="1" t="str">
        <f>"81983789007"</f>
        <v>81983789007</v>
      </c>
      <c r="C720" t="str">
        <f>"EVERYDAY COUNTER-WEDDING-PREMIUM PKG/2"</f>
        <v>EVERYDAY COUNTER-WEDDING-PREMIUM PKG/2</v>
      </c>
      <c r="D720" t="str">
        <f>"U1986"</f>
        <v>U1986</v>
      </c>
      <c r="E720" t="str">
        <f>"ED24HC07"</f>
        <v>ED24HC07</v>
      </c>
    </row>
    <row r="721" spans="1:5" x14ac:dyDescent="0.25">
      <c r="A721" t="str">
        <f>"345274"</f>
        <v>345274</v>
      </c>
      <c r="B721" s="1" t="str">
        <f>"81983794612"</f>
        <v>81983794612</v>
      </c>
      <c r="C721" t="str">
        <f>"EVERYDAY COUNTER-WEDDING PKG/6-U2680"</f>
        <v>EVERYDAY COUNTER-WEDDING PKG/6-U2680</v>
      </c>
      <c r="D721" t="str">
        <f>"U2680"</f>
        <v>U2680</v>
      </c>
      <c r="E721" t="str">
        <f>"ED24HC08"</f>
        <v>ED24HC08</v>
      </c>
    </row>
    <row r="722" spans="1:5" x14ac:dyDescent="0.25">
      <c r="A722" t="str">
        <f>"279655"</f>
        <v>279655</v>
      </c>
      <c r="B722" s="1" t="str">
        <f>"81983772450"</f>
        <v>81983772450</v>
      </c>
      <c r="C722" t="str">
        <f>"EVERYDAY COUNTER-HL - ANNIVERSARY PKG/6-J9967"</f>
        <v>EVERYDAY COUNTER-HL - ANNIVERSARY PKG/6-J9967</v>
      </c>
      <c r="D722" t="str">
        <f>"J9967"</f>
        <v>J9967</v>
      </c>
      <c r="E722" t="str">
        <f>"ED24HD01"</f>
        <v>ED24HD01</v>
      </c>
    </row>
    <row r="723" spans="1:5" x14ac:dyDescent="0.25">
      <c r="A723" t="str">
        <f>"279662"</f>
        <v>279662</v>
      </c>
      <c r="B723" s="1" t="str">
        <f>"81983772467"</f>
        <v>81983772467</v>
      </c>
      <c r="C723" t="str">
        <f>"EVERYDAY COUNTER-HL - ANNIVERSARY PKG/6-J9968"</f>
        <v>EVERYDAY COUNTER-HL - ANNIVERSARY PKG/6-J9968</v>
      </c>
      <c r="D723" t="str">
        <f>"J9968"</f>
        <v>J9968</v>
      </c>
      <c r="E723" t="str">
        <f>"ED24HD02"</f>
        <v>ED24HD02</v>
      </c>
    </row>
    <row r="724" spans="1:5" x14ac:dyDescent="0.25">
      <c r="A724" t="str">
        <f>"279663"</f>
        <v>279663</v>
      </c>
      <c r="B724" s="1" t="str">
        <f>"81983772474"</f>
        <v>81983772474</v>
      </c>
      <c r="C724" t="str">
        <f>"EVERYDAY COUNTER-HL - ANNIVERSARY PKG/6-J9969"</f>
        <v>EVERYDAY COUNTER-HL - ANNIVERSARY PKG/6-J9969</v>
      </c>
      <c r="D724" t="str">
        <f>"J9969"</f>
        <v>J9969</v>
      </c>
      <c r="E724" t="str">
        <f>"ED24HD03"</f>
        <v>ED24HD03</v>
      </c>
    </row>
    <row r="725" spans="1:5" x14ac:dyDescent="0.25">
      <c r="A725" t="str">
        <f>"279664"</f>
        <v>279664</v>
      </c>
      <c r="B725" s="1" t="str">
        <f>"81983772481"</f>
        <v>81983772481</v>
      </c>
      <c r="C725" t="str">
        <f>"EVERYDAY COUNTER-HL - ANNIVERSARY PKG/6-J9970"</f>
        <v>EVERYDAY COUNTER-HL - ANNIVERSARY PKG/6-J9970</v>
      </c>
      <c r="D725" t="str">
        <f>"J9970"</f>
        <v>J9970</v>
      </c>
      <c r="E725" t="str">
        <f>"ED24HD04"</f>
        <v>ED24HD04</v>
      </c>
    </row>
    <row r="726" spans="1:5" x14ac:dyDescent="0.25">
      <c r="A726" t="str">
        <f>"279659"</f>
        <v>279659</v>
      </c>
      <c r="B726" s="1" t="str">
        <f>"81983772504"</f>
        <v>81983772504</v>
      </c>
      <c r="C726" t="str">
        <f>"EVERYDAY COUNTER-HL - ANNIVERSARY HUSBAND PKG/6-J9972"</f>
        <v>EVERYDAY COUNTER-HL - ANNIVERSARY HUSBAND PKG/6-J9972</v>
      </c>
      <c r="D726" t="str">
        <f>"J9972"</f>
        <v>J9972</v>
      </c>
      <c r="E726" t="str">
        <f>"ED24HD05"</f>
        <v>ED24HD05</v>
      </c>
    </row>
    <row r="727" spans="1:5" x14ac:dyDescent="0.25">
      <c r="A727" t="str">
        <f>"279660"</f>
        <v>279660</v>
      </c>
      <c r="B727" s="1" t="str">
        <f>"81983772498"</f>
        <v>81983772498</v>
      </c>
      <c r="C727" t="str">
        <f>"EVERYDAY COUNTER-HL - ANNIVERSARY HUSBAND PKG/6-J9971"</f>
        <v>EVERYDAY COUNTER-HL - ANNIVERSARY HUSBAND PKG/6-J9971</v>
      </c>
      <c r="D727" t="str">
        <f>"J9971"</f>
        <v>J9971</v>
      </c>
      <c r="E727" t="str">
        <f>"ED24HD06"</f>
        <v>ED24HD06</v>
      </c>
    </row>
    <row r="728" spans="1:5" x14ac:dyDescent="0.25">
      <c r="A728" t="str">
        <f>"279658"</f>
        <v>279658</v>
      </c>
      <c r="B728" s="1" t="str">
        <f>"81983772528"</f>
        <v>81983772528</v>
      </c>
      <c r="C728" t="str">
        <f>"EVERYDAY COUNTER-HL - ANNIVERSARY WIFE PKG/6-J9974"</f>
        <v>EVERYDAY COUNTER-HL - ANNIVERSARY WIFE PKG/6-J9974</v>
      </c>
      <c r="D728" t="str">
        <f>"J9974"</f>
        <v>J9974</v>
      </c>
      <c r="E728" t="str">
        <f>"ED24HD07"</f>
        <v>ED24HD07</v>
      </c>
    </row>
    <row r="729" spans="1:5" x14ac:dyDescent="0.25">
      <c r="A729" t="str">
        <f>"279661"</f>
        <v>279661</v>
      </c>
      <c r="B729" s="1" t="str">
        <f>"81983772511"</f>
        <v>81983772511</v>
      </c>
      <c r="C729" t="str">
        <f>"EVERYDAY COUNTER-HL-ANNIVERSARY WIFE PKG/6-J9973"</f>
        <v>EVERYDAY COUNTER-HL-ANNIVERSARY WIFE PKG/6-J9973</v>
      </c>
      <c r="D729" t="str">
        <f>"J9973"</f>
        <v>J9973</v>
      </c>
      <c r="E729" t="str">
        <f>"ED24HD08"</f>
        <v>ED24HD08</v>
      </c>
    </row>
    <row r="730" spans="1:5" x14ac:dyDescent="0.25">
      <c r="A730" t="str">
        <f>"374842"</f>
        <v>374842</v>
      </c>
      <c r="B730" s="1" t="str">
        <f>"081983789069"</f>
        <v>081983789069</v>
      </c>
      <c r="C730" t="str">
        <f>"EVERYDAY COUNTER-CONGRATULATIONS-PREMIUM PKG/2"</f>
        <v>EVERYDAY COUNTER-CONGRATULATIONS-PREMIUM PKG/2</v>
      </c>
      <c r="D730" t="str">
        <f>"U1992"</f>
        <v>U1992</v>
      </c>
      <c r="E730" t="str">
        <f>"ED24HE01"</f>
        <v>ED24HE01</v>
      </c>
    </row>
    <row r="731" spans="1:5" x14ac:dyDescent="0.25">
      <c r="A731" t="str">
        <f>"345230"</f>
        <v>345230</v>
      </c>
      <c r="B731" s="1" t="str">
        <f>"81983789052"</f>
        <v>81983789052</v>
      </c>
      <c r="C731" t="str">
        <f>"EVERYDAY COUNTER-CONGRATULATIONS-PREMIUM PKG/2"</f>
        <v>EVERYDAY COUNTER-CONGRATULATIONS-PREMIUM PKG/2</v>
      </c>
      <c r="D731" t="str">
        <f>"U1991"</f>
        <v>U1991</v>
      </c>
      <c r="E731" t="str">
        <f>"ED24HE02"</f>
        <v>ED24HE02</v>
      </c>
    </row>
    <row r="732" spans="1:5" x14ac:dyDescent="0.25">
      <c r="A732" t="str">
        <f>"345228"</f>
        <v>345228</v>
      </c>
      <c r="B732" s="1" t="str">
        <f>"81983789045"</f>
        <v>81983789045</v>
      </c>
      <c r="C732" t="str">
        <f>"EVERYDAY COUNTER-CONGRATULATIONS-PREMIUM PKG/2"</f>
        <v>EVERYDAY COUNTER-CONGRATULATIONS-PREMIUM PKG/2</v>
      </c>
      <c r="D732" t="str">
        <f>"U1990"</f>
        <v>U1990</v>
      </c>
      <c r="E732" t="str">
        <f>"ED24HE03"</f>
        <v>ED24HE03</v>
      </c>
    </row>
    <row r="733" spans="1:5" x14ac:dyDescent="0.25">
      <c r="A733" t="str">
        <f>"345272"</f>
        <v>345272</v>
      </c>
      <c r="B733" s="1" t="str">
        <f>"81983794599"</f>
        <v>81983794599</v>
      </c>
      <c r="C733" t="str">
        <f>"EVERYDAY COUNTER-CONGRATULATIONS GRADUATE PKG/6"</f>
        <v>EVERYDAY COUNTER-CONGRATULATIONS GRADUATE PKG/6</v>
      </c>
      <c r="D733" t="str">
        <f>"U2678"</f>
        <v>U2678</v>
      </c>
      <c r="E733" t="str">
        <f>"ED24HE04"</f>
        <v>ED24HE04</v>
      </c>
    </row>
    <row r="734" spans="1:5" x14ac:dyDescent="0.25">
      <c r="A734" t="str">
        <f>"345271"</f>
        <v>345271</v>
      </c>
      <c r="B734" s="1" t="str">
        <f>"81983794582"</f>
        <v>81983794582</v>
      </c>
      <c r="C734" t="str">
        <f>"EVERYDAY COUNTER-CONGRATULATIONS/BABY SHOWER PKG/6"</f>
        <v>EVERYDAY COUNTER-CONGRATULATIONS/BABY SHOWER PKG/6</v>
      </c>
      <c r="D734" t="str">
        <f>"U2677"</f>
        <v>U2677</v>
      </c>
      <c r="E734" t="str">
        <f>"ED24HE05"</f>
        <v>ED24HE05</v>
      </c>
    </row>
    <row r="735" spans="1:5" x14ac:dyDescent="0.25">
      <c r="A735" t="str">
        <f>"345273"</f>
        <v>345273</v>
      </c>
      <c r="B735" s="1" t="str">
        <f>"81983794605"</f>
        <v>81983794605</v>
      </c>
      <c r="C735" t="str">
        <f>"EVERYDAY COUNTER-CONGRATULATIONS GRADUATE PKG/6"</f>
        <v>EVERYDAY COUNTER-CONGRATULATIONS GRADUATE PKG/6</v>
      </c>
      <c r="D735" t="str">
        <f>"U2679"</f>
        <v>U2679</v>
      </c>
      <c r="E735" t="str">
        <f>"ED24HE06"</f>
        <v>ED24HE06</v>
      </c>
    </row>
    <row r="736" spans="1:5" x14ac:dyDescent="0.25">
      <c r="A736" t="str">
        <f>"345227"</f>
        <v>345227</v>
      </c>
      <c r="B736" s="1" t="str">
        <f>"81983789038"</f>
        <v>81983789038</v>
      </c>
      <c r="C736" t="str">
        <f>"EVERYDAY COUNTER-BABY CONGRATS-PREMIUM PKG/2"</f>
        <v>EVERYDAY COUNTER-BABY CONGRATS-PREMIUM PKG/2</v>
      </c>
      <c r="D736" t="str">
        <f>"U1989"</f>
        <v>U1989</v>
      </c>
      <c r="E736" t="str">
        <f>"ED24HE07"</f>
        <v>ED24HE07</v>
      </c>
    </row>
    <row r="737" spans="1:5" x14ac:dyDescent="0.25">
      <c r="A737" t="str">
        <f>"345270"</f>
        <v>345270</v>
      </c>
      <c r="B737" s="1" t="str">
        <f>"81983794575"</f>
        <v>81983794575</v>
      </c>
      <c r="C737" t="str">
        <f>"EVERYDAY COUNTER-CONGRATULATIONS BABY PKG/6"</f>
        <v>EVERYDAY COUNTER-CONGRATULATIONS BABY PKG/6</v>
      </c>
      <c r="D737" t="str">
        <f>"U2676"</f>
        <v>U2676</v>
      </c>
      <c r="E737" t="str">
        <f>"ED24HE08"</f>
        <v>ED24HE08</v>
      </c>
    </row>
    <row r="738" spans="1:5" x14ac:dyDescent="0.25">
      <c r="A738" t="str">
        <f>"308432"</f>
        <v>308432</v>
      </c>
      <c r="B738" s="1" t="str">
        <f>"81983720574"</f>
        <v>81983720574</v>
      </c>
      <c r="C738" t="str">
        <f>"EVERYDAY COUNTER-HL - SYMPATHY/CACTUS PKG/6-J3303"</f>
        <v>EVERYDAY COUNTER-HL - SYMPATHY/CACTUS PKG/6-J3303</v>
      </c>
      <c r="D738" t="str">
        <f>"J3303"</f>
        <v>J3303</v>
      </c>
      <c r="E738" t="str">
        <f>"ED24HF01"</f>
        <v>ED24HF01</v>
      </c>
    </row>
    <row r="739" spans="1:5" x14ac:dyDescent="0.25">
      <c r="A739" t="str">
        <f>"308427"</f>
        <v>308427</v>
      </c>
      <c r="B739" s="1" t="str">
        <f>"81983720529"</f>
        <v>81983720529</v>
      </c>
      <c r="C739" t="str">
        <f>"EVERYDAY COUNTER-HL - SYMPATHY LOSS OF MOM/PURPLE FLOWERS PKG/6-J3298"</f>
        <v>EVERYDAY COUNTER-HL - SYMPATHY LOSS OF MOM/PURPLE FLOWERS PKG/6-J3298</v>
      </c>
      <c r="D739" t="str">
        <f>"J3298"</f>
        <v>J3298</v>
      </c>
      <c r="E739" t="str">
        <f>"ED24HF02"</f>
        <v>ED24HF02</v>
      </c>
    </row>
    <row r="740" spans="1:5" x14ac:dyDescent="0.25">
      <c r="A740" t="str">
        <f>"308426"</f>
        <v>308426</v>
      </c>
      <c r="B740" s="1" t="str">
        <f>"81983720512"</f>
        <v>81983720512</v>
      </c>
      <c r="C740" t="str">
        <f>"EVERYDAY COUNTER-HL - SYMPATHY LOSS OF DAD/HONORING PKG/6-J3297"</f>
        <v>EVERYDAY COUNTER-HL - SYMPATHY LOSS OF DAD/HONORING PKG/6-J3297</v>
      </c>
      <c r="D740" t="str">
        <f>"J3297"</f>
        <v>J3297</v>
      </c>
      <c r="E740" t="str">
        <f>"ED24HF03"</f>
        <v>ED24HF03</v>
      </c>
    </row>
    <row r="741" spans="1:5" x14ac:dyDescent="0.25">
      <c r="A741" t="str">
        <f>"308433"</f>
        <v>308433</v>
      </c>
      <c r="B741" s="1" t="str">
        <f>"81983720581"</f>
        <v>81983720581</v>
      </c>
      <c r="C741" t="str">
        <f>"EVERYDAY COUNTER-HL - SYMPATHY/COUNT ME IN PKG/6-J3304"</f>
        <v>EVERYDAY COUNTER-HL - SYMPATHY/COUNT ME IN PKG/6-J3304</v>
      </c>
      <c r="D741" t="str">
        <f>"J3304"</f>
        <v>J3304</v>
      </c>
      <c r="E741" t="str">
        <f>"ED24HF04"</f>
        <v>ED24HF04</v>
      </c>
    </row>
    <row r="742" spans="1:5" x14ac:dyDescent="0.25">
      <c r="A742" t="str">
        <f>"308430"</f>
        <v>308430</v>
      </c>
      <c r="B742" s="1" t="str">
        <f>"81983720550"</f>
        <v>81983720550</v>
      </c>
      <c r="C742" t="str">
        <f>"EVERYDAY COUNTER-HL - SYMPATHY LOSS OF HUSBAND/REMEMBERED PKG/6-J3301"</f>
        <v>EVERYDAY COUNTER-HL - SYMPATHY LOSS OF HUSBAND/REMEMBERED PKG/6-J3301</v>
      </c>
      <c r="D742" t="str">
        <f>"J3301"</f>
        <v>J3301</v>
      </c>
      <c r="E742" t="str">
        <f>"ED24HF05"</f>
        <v>ED24HF05</v>
      </c>
    </row>
    <row r="743" spans="1:5" x14ac:dyDescent="0.25">
      <c r="A743" t="str">
        <f>"308431"</f>
        <v>308431</v>
      </c>
      <c r="B743" s="1" t="str">
        <f>"81983720567"</f>
        <v>81983720567</v>
      </c>
      <c r="C743" t="str">
        <f>"EVERYDAY COUNTER-HL - SYMPATHY LOSS OF WIFE/SPECIAL PERSON PKG/6-J3302"</f>
        <v>EVERYDAY COUNTER-HL - SYMPATHY LOSS OF WIFE/SPECIAL PERSON PKG/6-J3302</v>
      </c>
      <c r="D743" t="str">
        <f>"J3302"</f>
        <v>J3302</v>
      </c>
      <c r="E743" t="str">
        <f>"ED24HF06"</f>
        <v>ED24HF06</v>
      </c>
    </row>
    <row r="744" spans="1:5" x14ac:dyDescent="0.25">
      <c r="A744" t="str">
        <f>"308429"</f>
        <v>308429</v>
      </c>
      <c r="B744" s="1" t="str">
        <f>"81983720543"</f>
        <v>81983720543</v>
      </c>
      <c r="C744" t="str">
        <f>"EVERYDAY COUNTER-HL - SYMPATHY LOSS OF SON/PLANTERS PKG/6-J3300"</f>
        <v>EVERYDAY COUNTER-HL - SYMPATHY LOSS OF SON/PLANTERS PKG/6-J3300</v>
      </c>
      <c r="D744" t="str">
        <f>"J3300"</f>
        <v>J3300</v>
      </c>
      <c r="E744" t="str">
        <f>"ED24HF07"</f>
        <v>ED24HF07</v>
      </c>
    </row>
    <row r="745" spans="1:5" x14ac:dyDescent="0.25">
      <c r="A745" t="str">
        <f>"308428"</f>
        <v>308428</v>
      </c>
      <c r="B745" s="1" t="str">
        <f>"81983720536"</f>
        <v>81983720536</v>
      </c>
      <c r="C745" t="str">
        <f>"EVERYDAY COUNTER-HL - SYMPATHY LOSS OF DAUGHTER/GIFT FOR A LIFETIME PKG/6-J3299"</f>
        <v>EVERYDAY COUNTER-HL - SYMPATHY LOSS OF DAUGHTER/GIFT FOR A LIFETIME PKG/6-J3299</v>
      </c>
      <c r="D745" t="str">
        <f>"J3299"</f>
        <v>J3299</v>
      </c>
      <c r="E745" t="str">
        <f>"ED24HF08"</f>
        <v>ED24HF08</v>
      </c>
    </row>
    <row r="747" spans="1:5" x14ac:dyDescent="0.25">
      <c r="B747"/>
    </row>
    <row r="748" spans="1:5" x14ac:dyDescent="0.25">
      <c r="B748"/>
    </row>
    <row r="749" spans="1:5" x14ac:dyDescent="0.25">
      <c r="B749"/>
    </row>
    <row r="750" spans="1:5" x14ac:dyDescent="0.25">
      <c r="B750"/>
    </row>
    <row r="751" spans="1:5" x14ac:dyDescent="0.25">
      <c r="B751"/>
    </row>
    <row r="752" spans="1:5" x14ac:dyDescent="0.25">
      <c r="B752"/>
    </row>
    <row r="753" spans="2:2" x14ac:dyDescent="0.25">
      <c r="B753"/>
    </row>
    <row r="754" spans="2:2" x14ac:dyDescent="0.25">
      <c r="B754"/>
    </row>
    <row r="755" spans="2:2" x14ac:dyDescent="0.25">
      <c r="B755"/>
    </row>
    <row r="756" spans="2:2" x14ac:dyDescent="0.25">
      <c r="B756"/>
    </row>
    <row r="757" spans="2:2" x14ac:dyDescent="0.25">
      <c r="B757"/>
    </row>
    <row r="758" spans="2:2" x14ac:dyDescent="0.25">
      <c r="B758"/>
    </row>
    <row r="759" spans="2:2" x14ac:dyDescent="0.25">
      <c r="B759"/>
    </row>
    <row r="760" spans="2:2" x14ac:dyDescent="0.25">
      <c r="B760"/>
    </row>
    <row r="761" spans="2:2" x14ac:dyDescent="0.25">
      <c r="B761"/>
    </row>
    <row r="762" spans="2:2" x14ac:dyDescent="0.25">
      <c r="B762"/>
    </row>
    <row r="763" spans="2:2" x14ac:dyDescent="0.25">
      <c r="B763"/>
    </row>
    <row r="764" spans="2:2" x14ac:dyDescent="0.25">
      <c r="B764"/>
    </row>
    <row r="765" spans="2:2" x14ac:dyDescent="0.25">
      <c r="B765"/>
    </row>
    <row r="766" spans="2:2" x14ac:dyDescent="0.25">
      <c r="B766"/>
    </row>
    <row r="767" spans="2:2" x14ac:dyDescent="0.25">
      <c r="B767"/>
    </row>
    <row r="768" spans="2:2" x14ac:dyDescent="0.25">
      <c r="B768"/>
    </row>
    <row r="769" spans="2:2" x14ac:dyDescent="0.25">
      <c r="B769"/>
    </row>
    <row r="770" spans="2:2" x14ac:dyDescent="0.25">
      <c r="B770"/>
    </row>
    <row r="771" spans="2:2" x14ac:dyDescent="0.25">
      <c r="B771"/>
    </row>
    <row r="772" spans="2:2" x14ac:dyDescent="0.25">
      <c r="B772"/>
    </row>
    <row r="773" spans="2:2" x14ac:dyDescent="0.25">
      <c r="B773"/>
    </row>
    <row r="774" spans="2:2" x14ac:dyDescent="0.25">
      <c r="B774"/>
    </row>
    <row r="775" spans="2:2" x14ac:dyDescent="0.25">
      <c r="B775"/>
    </row>
    <row r="776" spans="2:2" x14ac:dyDescent="0.25">
      <c r="B776"/>
    </row>
    <row r="777" spans="2:2" x14ac:dyDescent="0.25">
      <c r="B777"/>
    </row>
    <row r="778" spans="2:2" x14ac:dyDescent="0.25">
      <c r="B778"/>
    </row>
    <row r="779" spans="2:2" x14ac:dyDescent="0.25">
      <c r="B779"/>
    </row>
    <row r="780" spans="2:2" x14ac:dyDescent="0.25">
      <c r="B780"/>
    </row>
    <row r="781" spans="2:2" x14ac:dyDescent="0.25">
      <c r="B781"/>
    </row>
    <row r="782" spans="2:2" x14ac:dyDescent="0.25">
      <c r="B782"/>
    </row>
    <row r="783" spans="2:2" x14ac:dyDescent="0.25">
      <c r="B783"/>
    </row>
    <row r="784" spans="2:2" x14ac:dyDescent="0.25">
      <c r="B784"/>
    </row>
    <row r="785" spans="2:2" x14ac:dyDescent="0.25">
      <c r="B785"/>
    </row>
    <row r="786" spans="2:2" x14ac:dyDescent="0.25">
      <c r="B786"/>
    </row>
    <row r="787" spans="2:2" x14ac:dyDescent="0.25">
      <c r="B787"/>
    </row>
    <row r="788" spans="2:2" x14ac:dyDescent="0.25">
      <c r="B788"/>
    </row>
    <row r="789" spans="2:2" x14ac:dyDescent="0.25">
      <c r="B789"/>
    </row>
    <row r="790" spans="2:2" x14ac:dyDescent="0.25">
      <c r="B790"/>
    </row>
    <row r="791" spans="2:2" x14ac:dyDescent="0.25">
      <c r="B791"/>
    </row>
    <row r="792" spans="2:2" x14ac:dyDescent="0.25">
      <c r="B792"/>
    </row>
    <row r="793" spans="2:2" x14ac:dyDescent="0.25">
      <c r="B793"/>
    </row>
    <row r="794" spans="2:2" x14ac:dyDescent="0.25">
      <c r="B794"/>
    </row>
    <row r="795" spans="2:2" x14ac:dyDescent="0.25">
      <c r="B795"/>
    </row>
    <row r="796" spans="2:2" x14ac:dyDescent="0.25">
      <c r="B796"/>
    </row>
    <row r="797" spans="2:2" x14ac:dyDescent="0.25">
      <c r="B797"/>
    </row>
    <row r="798" spans="2:2" x14ac:dyDescent="0.25">
      <c r="B798"/>
    </row>
    <row r="799" spans="2:2" x14ac:dyDescent="0.25">
      <c r="B799"/>
    </row>
    <row r="800" spans="2:2" x14ac:dyDescent="0.25">
      <c r="B800"/>
    </row>
    <row r="801" spans="2:2" x14ac:dyDescent="0.25">
      <c r="B801"/>
    </row>
    <row r="802" spans="2:2" x14ac:dyDescent="0.25">
      <c r="B802"/>
    </row>
    <row r="803" spans="2:2" x14ac:dyDescent="0.25">
      <c r="B803"/>
    </row>
    <row r="804" spans="2:2" x14ac:dyDescent="0.25">
      <c r="B804"/>
    </row>
    <row r="805" spans="2:2" x14ac:dyDescent="0.25">
      <c r="B805"/>
    </row>
    <row r="806" spans="2:2" x14ac:dyDescent="0.25">
      <c r="B806"/>
    </row>
    <row r="807" spans="2:2" x14ac:dyDescent="0.25">
      <c r="B807"/>
    </row>
    <row r="808" spans="2:2" x14ac:dyDescent="0.25">
      <c r="B808"/>
    </row>
    <row r="809" spans="2:2" x14ac:dyDescent="0.25">
      <c r="B809"/>
    </row>
    <row r="810" spans="2:2" x14ac:dyDescent="0.25">
      <c r="B810"/>
    </row>
    <row r="811" spans="2:2" x14ac:dyDescent="0.25">
      <c r="B811"/>
    </row>
    <row r="812" spans="2:2" x14ac:dyDescent="0.25">
      <c r="B812"/>
    </row>
    <row r="813" spans="2:2" x14ac:dyDescent="0.25">
      <c r="B813"/>
    </row>
    <row r="814" spans="2:2" x14ac:dyDescent="0.25">
      <c r="B814"/>
    </row>
    <row r="815" spans="2:2" x14ac:dyDescent="0.25">
      <c r="B815"/>
    </row>
    <row r="816" spans="2:2" x14ac:dyDescent="0.25">
      <c r="B816"/>
    </row>
    <row r="817" spans="2:2" x14ac:dyDescent="0.25">
      <c r="B817"/>
    </row>
    <row r="818" spans="2:2" x14ac:dyDescent="0.25">
      <c r="B818"/>
    </row>
    <row r="819" spans="2:2" x14ac:dyDescent="0.25">
      <c r="B819"/>
    </row>
    <row r="820" spans="2:2" x14ac:dyDescent="0.25">
      <c r="B820"/>
    </row>
    <row r="821" spans="2:2" x14ac:dyDescent="0.25">
      <c r="B821"/>
    </row>
    <row r="822" spans="2:2" x14ac:dyDescent="0.25">
      <c r="B822"/>
    </row>
    <row r="823" spans="2:2" x14ac:dyDescent="0.25">
      <c r="B823"/>
    </row>
    <row r="824" spans="2:2" x14ac:dyDescent="0.25">
      <c r="B824"/>
    </row>
    <row r="825" spans="2:2" x14ac:dyDescent="0.25">
      <c r="B825"/>
    </row>
    <row r="826" spans="2:2" x14ac:dyDescent="0.25">
      <c r="B826"/>
    </row>
    <row r="827" spans="2:2" x14ac:dyDescent="0.25">
      <c r="B827"/>
    </row>
    <row r="828" spans="2:2" x14ac:dyDescent="0.25">
      <c r="B828"/>
    </row>
    <row r="829" spans="2:2" x14ac:dyDescent="0.25">
      <c r="B829"/>
    </row>
    <row r="830" spans="2:2" x14ac:dyDescent="0.25">
      <c r="B830"/>
    </row>
    <row r="831" spans="2:2" x14ac:dyDescent="0.25">
      <c r="B831"/>
    </row>
    <row r="832" spans="2:2" x14ac:dyDescent="0.25">
      <c r="B832"/>
    </row>
    <row r="833" spans="2:2" x14ac:dyDescent="0.25">
      <c r="B833"/>
    </row>
    <row r="834" spans="2:2" x14ac:dyDescent="0.25">
      <c r="B834"/>
    </row>
    <row r="835" spans="2:2" x14ac:dyDescent="0.25">
      <c r="B835"/>
    </row>
    <row r="836" spans="2:2" x14ac:dyDescent="0.25">
      <c r="B836"/>
    </row>
    <row r="837" spans="2:2" x14ac:dyDescent="0.25">
      <c r="B837"/>
    </row>
    <row r="838" spans="2:2" x14ac:dyDescent="0.25">
      <c r="B838"/>
    </row>
    <row r="839" spans="2:2" x14ac:dyDescent="0.25">
      <c r="B839"/>
    </row>
    <row r="840" spans="2:2" x14ac:dyDescent="0.25">
      <c r="B840"/>
    </row>
    <row r="841" spans="2:2" x14ac:dyDescent="0.25">
      <c r="B841"/>
    </row>
    <row r="842" spans="2:2" x14ac:dyDescent="0.25">
      <c r="B842"/>
    </row>
    <row r="843" spans="2:2" x14ac:dyDescent="0.25">
      <c r="B843"/>
    </row>
    <row r="844" spans="2:2" x14ac:dyDescent="0.25">
      <c r="B844"/>
    </row>
    <row r="845" spans="2:2" x14ac:dyDescent="0.25">
      <c r="B845"/>
    </row>
    <row r="846" spans="2:2" x14ac:dyDescent="0.25">
      <c r="B846"/>
    </row>
    <row r="847" spans="2:2" x14ac:dyDescent="0.25">
      <c r="B847"/>
    </row>
    <row r="848" spans="2:2" x14ac:dyDescent="0.25">
      <c r="B848"/>
    </row>
    <row r="849" spans="2:2" x14ac:dyDescent="0.25">
      <c r="B849"/>
    </row>
    <row r="850" spans="2:2" x14ac:dyDescent="0.25">
      <c r="B850"/>
    </row>
    <row r="851" spans="2:2" x14ac:dyDescent="0.25">
      <c r="B851"/>
    </row>
    <row r="852" spans="2:2" x14ac:dyDescent="0.25">
      <c r="B852"/>
    </row>
    <row r="853" spans="2:2" x14ac:dyDescent="0.25">
      <c r="B853"/>
    </row>
    <row r="854" spans="2:2" x14ac:dyDescent="0.25">
      <c r="B854"/>
    </row>
    <row r="855" spans="2:2" x14ac:dyDescent="0.25">
      <c r="B855"/>
    </row>
    <row r="856" spans="2:2" x14ac:dyDescent="0.25">
      <c r="B856"/>
    </row>
    <row r="857" spans="2:2" x14ac:dyDescent="0.25">
      <c r="B857"/>
    </row>
    <row r="858" spans="2:2" x14ac:dyDescent="0.25">
      <c r="B858"/>
    </row>
    <row r="859" spans="2:2" x14ac:dyDescent="0.25">
      <c r="B859"/>
    </row>
    <row r="860" spans="2:2" x14ac:dyDescent="0.25">
      <c r="B860"/>
    </row>
    <row r="861" spans="2:2" x14ac:dyDescent="0.25">
      <c r="B861"/>
    </row>
    <row r="862" spans="2:2" x14ac:dyDescent="0.25">
      <c r="B862"/>
    </row>
    <row r="863" spans="2:2" x14ac:dyDescent="0.25">
      <c r="B863"/>
    </row>
    <row r="864" spans="2:2" x14ac:dyDescent="0.25">
      <c r="B864"/>
    </row>
    <row r="865" spans="2:2" x14ac:dyDescent="0.25">
      <c r="B865"/>
    </row>
    <row r="866" spans="2:2" x14ac:dyDescent="0.25">
      <c r="B866"/>
    </row>
    <row r="867" spans="2:2" x14ac:dyDescent="0.25">
      <c r="B867"/>
    </row>
    <row r="868" spans="2:2" x14ac:dyDescent="0.25">
      <c r="B868"/>
    </row>
    <row r="869" spans="2:2" x14ac:dyDescent="0.25">
      <c r="B869"/>
    </row>
    <row r="870" spans="2:2" x14ac:dyDescent="0.25">
      <c r="B870"/>
    </row>
    <row r="871" spans="2:2" x14ac:dyDescent="0.25">
      <c r="B871"/>
    </row>
    <row r="872" spans="2:2" x14ac:dyDescent="0.25">
      <c r="B872"/>
    </row>
    <row r="873" spans="2:2" x14ac:dyDescent="0.25">
      <c r="B873"/>
    </row>
    <row r="874" spans="2:2" x14ac:dyDescent="0.25">
      <c r="B874"/>
    </row>
    <row r="875" spans="2:2" x14ac:dyDescent="0.25">
      <c r="B875"/>
    </row>
    <row r="876" spans="2:2" x14ac:dyDescent="0.25">
      <c r="B876"/>
    </row>
    <row r="877" spans="2:2" x14ac:dyDescent="0.25">
      <c r="B877"/>
    </row>
    <row r="878" spans="2:2" x14ac:dyDescent="0.25">
      <c r="B878"/>
    </row>
    <row r="879" spans="2:2" x14ac:dyDescent="0.25">
      <c r="B879"/>
    </row>
    <row r="880" spans="2:2" x14ac:dyDescent="0.25">
      <c r="B880"/>
    </row>
    <row r="881" spans="2:2" x14ac:dyDescent="0.25">
      <c r="B881"/>
    </row>
    <row r="882" spans="2:2" x14ac:dyDescent="0.25">
      <c r="B882"/>
    </row>
    <row r="883" spans="2:2" x14ac:dyDescent="0.25">
      <c r="B883"/>
    </row>
    <row r="884" spans="2:2" x14ac:dyDescent="0.25">
      <c r="B884"/>
    </row>
    <row r="885" spans="2:2" x14ac:dyDescent="0.25">
      <c r="B885"/>
    </row>
    <row r="886" spans="2:2" x14ac:dyDescent="0.25">
      <c r="B886"/>
    </row>
    <row r="887" spans="2:2" x14ac:dyDescent="0.25">
      <c r="B887"/>
    </row>
    <row r="888" spans="2:2" x14ac:dyDescent="0.25">
      <c r="B888"/>
    </row>
    <row r="889" spans="2:2" x14ac:dyDescent="0.25">
      <c r="B889"/>
    </row>
    <row r="890" spans="2:2" x14ac:dyDescent="0.25">
      <c r="B890"/>
    </row>
    <row r="891" spans="2:2" x14ac:dyDescent="0.25">
      <c r="B891"/>
    </row>
    <row r="892" spans="2:2" x14ac:dyDescent="0.25">
      <c r="B892"/>
    </row>
    <row r="893" spans="2:2" x14ac:dyDescent="0.25">
      <c r="B893"/>
    </row>
    <row r="894" spans="2:2" x14ac:dyDescent="0.25">
      <c r="B894"/>
    </row>
    <row r="895" spans="2:2" x14ac:dyDescent="0.25">
      <c r="B895"/>
    </row>
    <row r="896" spans="2:2" x14ac:dyDescent="0.25">
      <c r="B896"/>
    </row>
    <row r="897" spans="2:2" x14ac:dyDescent="0.25">
      <c r="B897"/>
    </row>
    <row r="898" spans="2:2" x14ac:dyDescent="0.25">
      <c r="B898"/>
    </row>
    <row r="899" spans="2:2" x14ac:dyDescent="0.25">
      <c r="B899"/>
    </row>
    <row r="900" spans="2:2" x14ac:dyDescent="0.25">
      <c r="B900"/>
    </row>
    <row r="901" spans="2:2" x14ac:dyDescent="0.25">
      <c r="B901"/>
    </row>
    <row r="902" spans="2:2" x14ac:dyDescent="0.25">
      <c r="B902"/>
    </row>
    <row r="903" spans="2:2" x14ac:dyDescent="0.25">
      <c r="B903"/>
    </row>
    <row r="904" spans="2:2" x14ac:dyDescent="0.25">
      <c r="B904"/>
    </row>
    <row r="905" spans="2:2" x14ac:dyDescent="0.25">
      <c r="B905"/>
    </row>
    <row r="906" spans="2:2" x14ac:dyDescent="0.25">
      <c r="B906"/>
    </row>
    <row r="907" spans="2:2" x14ac:dyDescent="0.25">
      <c r="B907"/>
    </row>
    <row r="908" spans="2:2" x14ac:dyDescent="0.25">
      <c r="B908"/>
    </row>
    <row r="909" spans="2:2" x14ac:dyDescent="0.25">
      <c r="B909"/>
    </row>
    <row r="910" spans="2:2" x14ac:dyDescent="0.25">
      <c r="B910"/>
    </row>
    <row r="911" spans="2:2" x14ac:dyDescent="0.25">
      <c r="B911"/>
    </row>
    <row r="912" spans="2:2" x14ac:dyDescent="0.25">
      <c r="B912"/>
    </row>
    <row r="913" spans="2:2" x14ac:dyDescent="0.25">
      <c r="B913"/>
    </row>
    <row r="914" spans="2:2" x14ac:dyDescent="0.25">
      <c r="B914"/>
    </row>
    <row r="915" spans="2:2" x14ac:dyDescent="0.25">
      <c r="B915"/>
    </row>
    <row r="916" spans="2:2" x14ac:dyDescent="0.25">
      <c r="B916"/>
    </row>
    <row r="917" spans="2:2" x14ac:dyDescent="0.25">
      <c r="B917"/>
    </row>
    <row r="918" spans="2:2" x14ac:dyDescent="0.25">
      <c r="B918"/>
    </row>
    <row r="919" spans="2:2" x14ac:dyDescent="0.25">
      <c r="B919"/>
    </row>
    <row r="920" spans="2:2" x14ac:dyDescent="0.25">
      <c r="B920"/>
    </row>
    <row r="921" spans="2:2" x14ac:dyDescent="0.25">
      <c r="B921"/>
    </row>
    <row r="922" spans="2:2" x14ac:dyDescent="0.25">
      <c r="B922"/>
    </row>
    <row r="923" spans="2:2" x14ac:dyDescent="0.25">
      <c r="B923"/>
    </row>
    <row r="924" spans="2:2" x14ac:dyDescent="0.25">
      <c r="B924"/>
    </row>
    <row r="925" spans="2:2" x14ac:dyDescent="0.25">
      <c r="B925"/>
    </row>
    <row r="926" spans="2:2" x14ac:dyDescent="0.25">
      <c r="B926"/>
    </row>
    <row r="927" spans="2:2" x14ac:dyDescent="0.25">
      <c r="B927"/>
    </row>
    <row r="928" spans="2:2" x14ac:dyDescent="0.25">
      <c r="B928"/>
    </row>
    <row r="929" spans="2:2" x14ac:dyDescent="0.25">
      <c r="B929"/>
    </row>
    <row r="930" spans="2:2" x14ac:dyDescent="0.25">
      <c r="B930"/>
    </row>
    <row r="931" spans="2:2" x14ac:dyDescent="0.25">
      <c r="B931"/>
    </row>
    <row r="932" spans="2:2" x14ac:dyDescent="0.25">
      <c r="B932"/>
    </row>
    <row r="933" spans="2:2" x14ac:dyDescent="0.25">
      <c r="B933"/>
    </row>
    <row r="934" spans="2:2" x14ac:dyDescent="0.25">
      <c r="B934"/>
    </row>
    <row r="935" spans="2:2" x14ac:dyDescent="0.25">
      <c r="B935"/>
    </row>
    <row r="936" spans="2:2" x14ac:dyDescent="0.25">
      <c r="B936"/>
    </row>
    <row r="937" spans="2:2" x14ac:dyDescent="0.25">
      <c r="B937"/>
    </row>
    <row r="938" spans="2:2" x14ac:dyDescent="0.25">
      <c r="B938"/>
    </row>
    <row r="939" spans="2:2" x14ac:dyDescent="0.25">
      <c r="B939"/>
    </row>
    <row r="940" spans="2:2" x14ac:dyDescent="0.25">
      <c r="B940"/>
    </row>
    <row r="941" spans="2:2" x14ac:dyDescent="0.25">
      <c r="B941"/>
    </row>
    <row r="942" spans="2:2" x14ac:dyDescent="0.25">
      <c r="B942"/>
    </row>
    <row r="943" spans="2:2" x14ac:dyDescent="0.25">
      <c r="B943"/>
    </row>
    <row r="944" spans="2:2" x14ac:dyDescent="0.25">
      <c r="B944"/>
    </row>
    <row r="945" spans="2:2" x14ac:dyDescent="0.25">
      <c r="B945"/>
    </row>
    <row r="946" spans="2:2" x14ac:dyDescent="0.25">
      <c r="B946"/>
    </row>
    <row r="947" spans="2:2" x14ac:dyDescent="0.25">
      <c r="B947"/>
    </row>
    <row r="948" spans="2:2" x14ac:dyDescent="0.25">
      <c r="B948"/>
    </row>
    <row r="949" spans="2:2" x14ac:dyDescent="0.25">
      <c r="B949"/>
    </row>
    <row r="950" spans="2:2" x14ac:dyDescent="0.25">
      <c r="B950"/>
    </row>
    <row r="951" spans="2:2" x14ac:dyDescent="0.25">
      <c r="B951"/>
    </row>
    <row r="952" spans="2:2" x14ac:dyDescent="0.25">
      <c r="B952"/>
    </row>
    <row r="953" spans="2:2" x14ac:dyDescent="0.25">
      <c r="B953"/>
    </row>
    <row r="954" spans="2:2" x14ac:dyDescent="0.25">
      <c r="B954"/>
    </row>
    <row r="955" spans="2:2" x14ac:dyDescent="0.25">
      <c r="B955"/>
    </row>
    <row r="956" spans="2:2" x14ac:dyDescent="0.25">
      <c r="B956"/>
    </row>
    <row r="957" spans="2:2" x14ac:dyDescent="0.25">
      <c r="B957"/>
    </row>
    <row r="958" spans="2:2" x14ac:dyDescent="0.25">
      <c r="B958"/>
    </row>
    <row r="959" spans="2:2" x14ac:dyDescent="0.25">
      <c r="B959"/>
    </row>
    <row r="960" spans="2:2" x14ac:dyDescent="0.25">
      <c r="B960"/>
    </row>
    <row r="961" spans="2:2" x14ac:dyDescent="0.25">
      <c r="B961"/>
    </row>
    <row r="962" spans="2:2" x14ac:dyDescent="0.25">
      <c r="B962"/>
    </row>
    <row r="963" spans="2:2" x14ac:dyDescent="0.25">
      <c r="B963"/>
    </row>
    <row r="964" spans="2:2" x14ac:dyDescent="0.25">
      <c r="B964"/>
    </row>
    <row r="965" spans="2:2" x14ac:dyDescent="0.25">
      <c r="B965"/>
    </row>
    <row r="966" spans="2:2" x14ac:dyDescent="0.25">
      <c r="B966"/>
    </row>
    <row r="967" spans="2:2" x14ac:dyDescent="0.25">
      <c r="B967"/>
    </row>
    <row r="968" spans="2:2" x14ac:dyDescent="0.25">
      <c r="B968"/>
    </row>
    <row r="969" spans="2:2" x14ac:dyDescent="0.25">
      <c r="B969"/>
    </row>
    <row r="970" spans="2:2" x14ac:dyDescent="0.25">
      <c r="B970"/>
    </row>
    <row r="971" spans="2:2" x14ac:dyDescent="0.25">
      <c r="B971"/>
    </row>
    <row r="972" spans="2:2" x14ac:dyDescent="0.25">
      <c r="B972"/>
    </row>
    <row r="973" spans="2:2" x14ac:dyDescent="0.25">
      <c r="B973"/>
    </row>
    <row r="974" spans="2:2" x14ac:dyDescent="0.25">
      <c r="B974"/>
    </row>
    <row r="975" spans="2:2" x14ac:dyDescent="0.25">
      <c r="B975"/>
    </row>
    <row r="976" spans="2:2" x14ac:dyDescent="0.25">
      <c r="B976"/>
    </row>
    <row r="977" spans="2:2" x14ac:dyDescent="0.25">
      <c r="B977"/>
    </row>
    <row r="978" spans="2:2" x14ac:dyDescent="0.25">
      <c r="B978"/>
    </row>
    <row r="979" spans="2:2" x14ac:dyDescent="0.25">
      <c r="B979"/>
    </row>
    <row r="980" spans="2:2" x14ac:dyDescent="0.25">
      <c r="B980"/>
    </row>
    <row r="981" spans="2:2" x14ac:dyDescent="0.25">
      <c r="B981"/>
    </row>
    <row r="982" spans="2:2" x14ac:dyDescent="0.25">
      <c r="B982"/>
    </row>
    <row r="983" spans="2:2" x14ac:dyDescent="0.25">
      <c r="B983"/>
    </row>
    <row r="984" spans="2:2" x14ac:dyDescent="0.25">
      <c r="B984"/>
    </row>
    <row r="985" spans="2:2" x14ac:dyDescent="0.25">
      <c r="B985"/>
    </row>
    <row r="986" spans="2:2" x14ac:dyDescent="0.25">
      <c r="B986"/>
    </row>
    <row r="987" spans="2:2" x14ac:dyDescent="0.25">
      <c r="B987"/>
    </row>
    <row r="988" spans="2:2" x14ac:dyDescent="0.25">
      <c r="B988"/>
    </row>
    <row r="989" spans="2:2" x14ac:dyDescent="0.25">
      <c r="B989"/>
    </row>
    <row r="990" spans="2:2" x14ac:dyDescent="0.25">
      <c r="B990"/>
    </row>
    <row r="991" spans="2:2" x14ac:dyDescent="0.25">
      <c r="B991"/>
    </row>
    <row r="992" spans="2:2" x14ac:dyDescent="0.25">
      <c r="B992"/>
    </row>
    <row r="993" spans="2:2" x14ac:dyDescent="0.25">
      <c r="B993"/>
    </row>
    <row r="994" spans="2:2" x14ac:dyDescent="0.25">
      <c r="B994"/>
    </row>
    <row r="995" spans="2:2" x14ac:dyDescent="0.25">
      <c r="B995"/>
    </row>
    <row r="996" spans="2:2" x14ac:dyDescent="0.25">
      <c r="B996"/>
    </row>
    <row r="997" spans="2:2" x14ac:dyDescent="0.25">
      <c r="B997"/>
    </row>
    <row r="998" spans="2:2" x14ac:dyDescent="0.25">
      <c r="B998"/>
    </row>
    <row r="999" spans="2:2" x14ac:dyDescent="0.25">
      <c r="B999"/>
    </row>
    <row r="1000" spans="2:2" x14ac:dyDescent="0.25">
      <c r="B1000"/>
    </row>
    <row r="1001" spans="2:2" x14ac:dyDescent="0.25">
      <c r="B1001"/>
    </row>
    <row r="1002" spans="2:2" x14ac:dyDescent="0.25">
      <c r="B1002"/>
    </row>
    <row r="1003" spans="2:2" x14ac:dyDescent="0.25">
      <c r="B1003"/>
    </row>
    <row r="1004" spans="2:2" x14ac:dyDescent="0.25">
      <c r="B1004"/>
    </row>
    <row r="1005" spans="2:2" x14ac:dyDescent="0.25">
      <c r="B1005"/>
    </row>
    <row r="1006" spans="2:2" x14ac:dyDescent="0.25">
      <c r="B1006"/>
    </row>
    <row r="1007" spans="2:2" x14ac:dyDescent="0.25">
      <c r="B1007"/>
    </row>
    <row r="1008" spans="2:2" x14ac:dyDescent="0.25">
      <c r="B1008"/>
    </row>
    <row r="1009" spans="2:2" x14ac:dyDescent="0.25">
      <c r="B1009"/>
    </row>
    <row r="1010" spans="2:2" x14ac:dyDescent="0.25">
      <c r="B1010"/>
    </row>
    <row r="1011" spans="2:2" x14ac:dyDescent="0.25">
      <c r="B1011"/>
    </row>
    <row r="1012" spans="2:2" x14ac:dyDescent="0.25">
      <c r="B1012"/>
    </row>
    <row r="1013" spans="2:2" x14ac:dyDescent="0.25">
      <c r="B1013"/>
    </row>
    <row r="1014" spans="2:2" x14ac:dyDescent="0.25">
      <c r="B1014"/>
    </row>
    <row r="1015" spans="2:2" x14ac:dyDescent="0.25">
      <c r="B1015"/>
    </row>
    <row r="1016" spans="2:2" x14ac:dyDescent="0.25">
      <c r="B1016"/>
    </row>
    <row r="1017" spans="2:2" x14ac:dyDescent="0.25">
      <c r="B1017"/>
    </row>
    <row r="1018" spans="2:2" x14ac:dyDescent="0.25">
      <c r="B1018"/>
    </row>
    <row r="1019" spans="2:2" x14ac:dyDescent="0.25">
      <c r="B1019"/>
    </row>
    <row r="1020" spans="2:2" x14ac:dyDescent="0.25">
      <c r="B1020"/>
    </row>
    <row r="1021" spans="2:2" x14ac:dyDescent="0.25">
      <c r="B1021"/>
    </row>
    <row r="1022" spans="2:2" x14ac:dyDescent="0.25">
      <c r="B1022"/>
    </row>
    <row r="1023" spans="2:2" x14ac:dyDescent="0.25">
      <c r="B1023"/>
    </row>
    <row r="1024" spans="2:2" x14ac:dyDescent="0.25">
      <c r="B1024"/>
    </row>
    <row r="1025" spans="2:2" x14ac:dyDescent="0.25">
      <c r="B1025"/>
    </row>
    <row r="1026" spans="2:2" x14ac:dyDescent="0.25">
      <c r="B1026"/>
    </row>
    <row r="1027" spans="2:2" x14ac:dyDescent="0.25">
      <c r="B1027"/>
    </row>
    <row r="1028" spans="2:2" x14ac:dyDescent="0.25">
      <c r="B1028"/>
    </row>
    <row r="1029" spans="2:2" x14ac:dyDescent="0.25">
      <c r="B1029"/>
    </row>
    <row r="1030" spans="2:2" x14ac:dyDescent="0.25">
      <c r="B1030"/>
    </row>
    <row r="1031" spans="2:2" x14ac:dyDescent="0.25">
      <c r="B1031"/>
    </row>
    <row r="1032" spans="2:2" x14ac:dyDescent="0.25">
      <c r="B1032"/>
    </row>
    <row r="1033" spans="2:2" x14ac:dyDescent="0.25">
      <c r="B1033"/>
    </row>
    <row r="1034" spans="2:2" x14ac:dyDescent="0.25">
      <c r="B1034"/>
    </row>
    <row r="1035" spans="2:2" x14ac:dyDescent="0.25">
      <c r="B1035"/>
    </row>
    <row r="1036" spans="2:2" x14ac:dyDescent="0.25">
      <c r="B1036"/>
    </row>
    <row r="1037" spans="2:2" x14ac:dyDescent="0.25">
      <c r="B1037"/>
    </row>
    <row r="1038" spans="2:2" x14ac:dyDescent="0.25">
      <c r="B1038"/>
    </row>
    <row r="1039" spans="2:2" x14ac:dyDescent="0.25">
      <c r="B1039"/>
    </row>
    <row r="1040" spans="2:2" x14ac:dyDescent="0.25">
      <c r="B1040"/>
    </row>
    <row r="1041" spans="2:2" x14ac:dyDescent="0.25">
      <c r="B1041"/>
    </row>
    <row r="1042" spans="2:2" x14ac:dyDescent="0.25">
      <c r="B1042"/>
    </row>
    <row r="1043" spans="2:2" x14ac:dyDescent="0.25">
      <c r="B1043"/>
    </row>
    <row r="1044" spans="2:2" x14ac:dyDescent="0.25">
      <c r="B1044"/>
    </row>
    <row r="1045" spans="2:2" x14ac:dyDescent="0.25">
      <c r="B1045"/>
    </row>
    <row r="1046" spans="2:2" x14ac:dyDescent="0.25">
      <c r="B1046"/>
    </row>
    <row r="1047" spans="2:2" x14ac:dyDescent="0.25">
      <c r="B1047"/>
    </row>
    <row r="1048" spans="2:2" x14ac:dyDescent="0.25">
      <c r="B1048"/>
    </row>
    <row r="1049" spans="2:2" x14ac:dyDescent="0.25">
      <c r="B1049"/>
    </row>
    <row r="1050" spans="2:2" x14ac:dyDescent="0.25">
      <c r="B1050"/>
    </row>
    <row r="1051" spans="2:2" x14ac:dyDescent="0.25">
      <c r="B1051"/>
    </row>
    <row r="1052" spans="2:2" x14ac:dyDescent="0.25">
      <c r="B1052"/>
    </row>
    <row r="1053" spans="2:2" x14ac:dyDescent="0.25">
      <c r="B1053"/>
    </row>
    <row r="1054" spans="2:2" x14ac:dyDescent="0.25">
      <c r="B1054"/>
    </row>
    <row r="1055" spans="2:2" x14ac:dyDescent="0.25">
      <c r="B1055"/>
    </row>
    <row r="1056" spans="2:2" x14ac:dyDescent="0.25">
      <c r="B1056"/>
    </row>
    <row r="1057" spans="2:2" x14ac:dyDescent="0.25">
      <c r="B1057"/>
    </row>
    <row r="1058" spans="2:2" x14ac:dyDescent="0.25">
      <c r="B1058"/>
    </row>
    <row r="1059" spans="2:2" x14ac:dyDescent="0.25">
      <c r="B1059"/>
    </row>
    <row r="1060" spans="2:2" x14ac:dyDescent="0.25">
      <c r="B1060"/>
    </row>
    <row r="1061" spans="2:2" x14ac:dyDescent="0.25">
      <c r="B1061"/>
    </row>
    <row r="1062" spans="2:2" x14ac:dyDescent="0.25">
      <c r="B1062"/>
    </row>
    <row r="1063" spans="2:2" x14ac:dyDescent="0.25">
      <c r="B1063"/>
    </row>
    <row r="1064" spans="2:2" x14ac:dyDescent="0.25">
      <c r="B1064"/>
    </row>
    <row r="1065" spans="2:2" x14ac:dyDescent="0.25">
      <c r="B1065"/>
    </row>
    <row r="1066" spans="2:2" x14ac:dyDescent="0.25">
      <c r="B1066"/>
    </row>
    <row r="1067" spans="2:2" x14ac:dyDescent="0.25">
      <c r="B1067"/>
    </row>
    <row r="1068" spans="2:2" x14ac:dyDescent="0.25">
      <c r="B1068"/>
    </row>
    <row r="1069" spans="2:2" x14ac:dyDescent="0.25">
      <c r="B1069"/>
    </row>
    <row r="1070" spans="2:2" x14ac:dyDescent="0.25">
      <c r="B1070"/>
    </row>
    <row r="1071" spans="2:2" x14ac:dyDescent="0.25">
      <c r="B1071"/>
    </row>
    <row r="1072" spans="2:2" x14ac:dyDescent="0.25">
      <c r="B1072"/>
    </row>
    <row r="1073" spans="2:2" x14ac:dyDescent="0.25">
      <c r="B1073"/>
    </row>
    <row r="1074" spans="2:2" x14ac:dyDescent="0.25">
      <c r="B1074"/>
    </row>
    <row r="1075" spans="2:2" x14ac:dyDescent="0.25">
      <c r="B1075"/>
    </row>
    <row r="1076" spans="2:2" x14ac:dyDescent="0.25">
      <c r="B1076"/>
    </row>
    <row r="1077" spans="2:2" x14ac:dyDescent="0.25">
      <c r="B1077"/>
    </row>
    <row r="1078" spans="2:2" x14ac:dyDescent="0.25">
      <c r="B1078"/>
    </row>
    <row r="1079" spans="2:2" x14ac:dyDescent="0.25">
      <c r="B1079"/>
    </row>
    <row r="1080" spans="2:2" x14ac:dyDescent="0.25">
      <c r="B1080"/>
    </row>
    <row r="1081" spans="2:2" x14ac:dyDescent="0.25">
      <c r="B1081"/>
    </row>
    <row r="1082" spans="2:2" x14ac:dyDescent="0.25">
      <c r="B1082"/>
    </row>
    <row r="1083" spans="2:2" x14ac:dyDescent="0.25">
      <c r="B1083"/>
    </row>
    <row r="1084" spans="2:2" x14ac:dyDescent="0.25">
      <c r="B1084"/>
    </row>
    <row r="1085" spans="2:2" x14ac:dyDescent="0.25">
      <c r="B1085"/>
    </row>
    <row r="1086" spans="2:2" x14ac:dyDescent="0.25">
      <c r="B1086"/>
    </row>
    <row r="1087" spans="2:2" x14ac:dyDescent="0.25">
      <c r="B1087"/>
    </row>
    <row r="1088" spans="2:2" x14ac:dyDescent="0.25">
      <c r="B1088"/>
    </row>
    <row r="1089" spans="2:2" x14ac:dyDescent="0.25">
      <c r="B1089"/>
    </row>
    <row r="1090" spans="2:2" x14ac:dyDescent="0.25">
      <c r="B1090"/>
    </row>
    <row r="1091" spans="2:2" x14ac:dyDescent="0.25">
      <c r="B1091"/>
    </row>
    <row r="1092" spans="2:2" x14ac:dyDescent="0.25">
      <c r="B1092"/>
    </row>
    <row r="1093" spans="2:2" x14ac:dyDescent="0.25">
      <c r="B1093"/>
    </row>
    <row r="1094" spans="2:2" x14ac:dyDescent="0.25">
      <c r="B1094"/>
    </row>
    <row r="1095" spans="2:2" x14ac:dyDescent="0.25">
      <c r="B1095"/>
    </row>
    <row r="1096" spans="2:2" x14ac:dyDescent="0.25">
      <c r="B1096"/>
    </row>
    <row r="1097" spans="2:2" x14ac:dyDescent="0.25">
      <c r="B1097"/>
    </row>
    <row r="1098" spans="2:2" x14ac:dyDescent="0.25">
      <c r="B1098"/>
    </row>
    <row r="1099" spans="2:2" x14ac:dyDescent="0.25">
      <c r="B1099"/>
    </row>
    <row r="1100" spans="2:2" x14ac:dyDescent="0.25">
      <c r="B1100"/>
    </row>
    <row r="1101" spans="2:2" x14ac:dyDescent="0.25">
      <c r="B1101"/>
    </row>
    <row r="1102" spans="2:2" x14ac:dyDescent="0.25">
      <c r="B1102"/>
    </row>
    <row r="1103" spans="2:2" x14ac:dyDescent="0.25">
      <c r="B1103"/>
    </row>
    <row r="1104" spans="2:2" x14ac:dyDescent="0.25">
      <c r="B1104"/>
    </row>
    <row r="1105" spans="2:2" x14ac:dyDescent="0.25">
      <c r="B1105"/>
    </row>
    <row r="1106" spans="2:2" x14ac:dyDescent="0.25">
      <c r="B1106"/>
    </row>
    <row r="1107" spans="2:2" x14ac:dyDescent="0.25">
      <c r="B1107"/>
    </row>
    <row r="1108" spans="2:2" x14ac:dyDescent="0.25">
      <c r="B1108"/>
    </row>
    <row r="1109" spans="2:2" x14ac:dyDescent="0.25">
      <c r="B1109"/>
    </row>
    <row r="1110" spans="2:2" x14ac:dyDescent="0.25">
      <c r="B1110"/>
    </row>
    <row r="1111" spans="2:2" x14ac:dyDescent="0.25">
      <c r="B1111"/>
    </row>
    <row r="1112" spans="2:2" x14ac:dyDescent="0.25">
      <c r="B1112"/>
    </row>
    <row r="1113" spans="2:2" x14ac:dyDescent="0.25">
      <c r="B1113"/>
    </row>
    <row r="1114" spans="2:2" x14ac:dyDescent="0.25">
      <c r="B1114"/>
    </row>
    <row r="1115" spans="2:2" x14ac:dyDescent="0.25">
      <c r="B1115"/>
    </row>
    <row r="1116" spans="2:2" x14ac:dyDescent="0.25">
      <c r="B1116"/>
    </row>
    <row r="1117" spans="2:2" x14ac:dyDescent="0.25">
      <c r="B1117"/>
    </row>
    <row r="1118" spans="2:2" x14ac:dyDescent="0.25">
      <c r="B1118"/>
    </row>
    <row r="1119" spans="2:2" x14ac:dyDescent="0.25">
      <c r="B1119"/>
    </row>
    <row r="1120" spans="2:2" x14ac:dyDescent="0.25">
      <c r="B1120"/>
    </row>
    <row r="1121" spans="2:2" x14ac:dyDescent="0.25">
      <c r="B1121"/>
    </row>
    <row r="1122" spans="2:2" x14ac:dyDescent="0.25">
      <c r="B1122"/>
    </row>
    <row r="1123" spans="2:2" x14ac:dyDescent="0.25">
      <c r="B1123"/>
    </row>
    <row r="1124" spans="2:2" x14ac:dyDescent="0.25">
      <c r="B1124"/>
    </row>
    <row r="1125" spans="2:2" x14ac:dyDescent="0.25">
      <c r="B1125"/>
    </row>
    <row r="1126" spans="2:2" x14ac:dyDescent="0.25">
      <c r="B1126"/>
    </row>
    <row r="1127" spans="2:2" x14ac:dyDescent="0.25">
      <c r="B1127"/>
    </row>
    <row r="1128" spans="2:2" x14ac:dyDescent="0.25">
      <c r="B1128"/>
    </row>
    <row r="1129" spans="2:2" x14ac:dyDescent="0.25">
      <c r="B1129"/>
    </row>
    <row r="1130" spans="2:2" x14ac:dyDescent="0.25">
      <c r="B1130"/>
    </row>
    <row r="1131" spans="2:2" x14ac:dyDescent="0.25">
      <c r="B1131"/>
    </row>
    <row r="1132" spans="2:2" x14ac:dyDescent="0.25">
      <c r="B1132"/>
    </row>
    <row r="1133" spans="2:2" x14ac:dyDescent="0.25">
      <c r="B1133"/>
    </row>
    <row r="1134" spans="2:2" x14ac:dyDescent="0.25">
      <c r="B1134"/>
    </row>
    <row r="1135" spans="2:2" x14ac:dyDescent="0.25">
      <c r="B1135"/>
    </row>
    <row r="1136" spans="2:2" x14ac:dyDescent="0.25">
      <c r="B1136"/>
    </row>
    <row r="1137" spans="2:2" x14ac:dyDescent="0.25">
      <c r="B1137"/>
    </row>
    <row r="1138" spans="2:2" x14ac:dyDescent="0.25">
      <c r="B1138"/>
    </row>
    <row r="1139" spans="2:2" x14ac:dyDescent="0.25">
      <c r="B1139"/>
    </row>
    <row r="1140" spans="2:2" x14ac:dyDescent="0.25">
      <c r="B1140"/>
    </row>
    <row r="1141" spans="2:2" x14ac:dyDescent="0.25">
      <c r="B1141"/>
    </row>
    <row r="1142" spans="2:2" x14ac:dyDescent="0.25">
      <c r="B1142"/>
    </row>
    <row r="1143" spans="2:2" x14ac:dyDescent="0.25">
      <c r="B1143"/>
    </row>
    <row r="1144" spans="2:2" x14ac:dyDescent="0.25">
      <c r="B1144"/>
    </row>
    <row r="1145" spans="2:2" x14ac:dyDescent="0.25">
      <c r="B1145"/>
    </row>
    <row r="1146" spans="2:2" x14ac:dyDescent="0.25">
      <c r="B1146"/>
    </row>
    <row r="1147" spans="2:2" x14ac:dyDescent="0.25">
      <c r="B1147"/>
    </row>
    <row r="1148" spans="2:2" x14ac:dyDescent="0.25">
      <c r="B1148"/>
    </row>
    <row r="1149" spans="2:2" x14ac:dyDescent="0.25">
      <c r="B1149"/>
    </row>
    <row r="1150" spans="2:2" x14ac:dyDescent="0.25">
      <c r="B1150"/>
    </row>
    <row r="1151" spans="2:2" x14ac:dyDescent="0.25">
      <c r="B1151"/>
    </row>
    <row r="1152" spans="2:2" x14ac:dyDescent="0.25">
      <c r="B1152"/>
    </row>
    <row r="1153" spans="2:2" x14ac:dyDescent="0.25">
      <c r="B1153"/>
    </row>
    <row r="1154" spans="2:2" x14ac:dyDescent="0.25">
      <c r="B1154"/>
    </row>
    <row r="1155" spans="2:2" x14ac:dyDescent="0.25">
      <c r="B1155"/>
    </row>
    <row r="1156" spans="2:2" x14ac:dyDescent="0.25">
      <c r="B1156"/>
    </row>
    <row r="1157" spans="2:2" x14ac:dyDescent="0.25">
      <c r="B1157"/>
    </row>
    <row r="1158" spans="2:2" x14ac:dyDescent="0.25">
      <c r="B1158"/>
    </row>
    <row r="1159" spans="2:2" x14ac:dyDescent="0.25">
      <c r="B1159"/>
    </row>
    <row r="1160" spans="2:2" x14ac:dyDescent="0.25">
      <c r="B1160"/>
    </row>
    <row r="1161" spans="2:2" x14ac:dyDescent="0.25">
      <c r="B1161"/>
    </row>
    <row r="1162" spans="2:2" x14ac:dyDescent="0.25">
      <c r="B1162"/>
    </row>
    <row r="1163" spans="2:2" x14ac:dyDescent="0.25">
      <c r="B1163"/>
    </row>
    <row r="1164" spans="2:2" x14ac:dyDescent="0.25">
      <c r="B1164"/>
    </row>
    <row r="1165" spans="2:2" x14ac:dyDescent="0.25">
      <c r="B1165"/>
    </row>
    <row r="1166" spans="2:2" x14ac:dyDescent="0.25">
      <c r="B1166"/>
    </row>
    <row r="1167" spans="2:2" x14ac:dyDescent="0.25">
      <c r="B1167"/>
    </row>
    <row r="1168" spans="2:2" x14ac:dyDescent="0.25">
      <c r="B1168"/>
    </row>
    <row r="1169" spans="2:2" x14ac:dyDescent="0.25">
      <c r="B1169"/>
    </row>
    <row r="1170" spans="2:2" x14ac:dyDescent="0.25">
      <c r="B1170"/>
    </row>
    <row r="1171" spans="2:2" x14ac:dyDescent="0.25">
      <c r="B1171"/>
    </row>
    <row r="1172" spans="2:2" x14ac:dyDescent="0.25">
      <c r="B1172"/>
    </row>
    <row r="1173" spans="2:2" x14ac:dyDescent="0.25">
      <c r="B1173"/>
    </row>
    <row r="1174" spans="2:2" x14ac:dyDescent="0.25">
      <c r="B1174"/>
    </row>
    <row r="1175" spans="2:2" x14ac:dyDescent="0.25">
      <c r="B1175"/>
    </row>
    <row r="1176" spans="2:2" x14ac:dyDescent="0.25">
      <c r="B1176"/>
    </row>
    <row r="1177" spans="2:2" x14ac:dyDescent="0.25">
      <c r="B1177"/>
    </row>
    <row r="1178" spans="2:2" x14ac:dyDescent="0.25">
      <c r="B1178"/>
    </row>
    <row r="1179" spans="2:2" x14ac:dyDescent="0.25">
      <c r="B1179"/>
    </row>
    <row r="1180" spans="2:2" x14ac:dyDescent="0.25">
      <c r="B1180"/>
    </row>
    <row r="1181" spans="2:2" x14ac:dyDescent="0.25">
      <c r="B1181"/>
    </row>
    <row r="1182" spans="2:2" x14ac:dyDescent="0.25">
      <c r="B1182"/>
    </row>
    <row r="1183" spans="2:2" x14ac:dyDescent="0.25">
      <c r="B1183"/>
    </row>
    <row r="1184" spans="2:2" x14ac:dyDescent="0.25">
      <c r="B1184"/>
    </row>
    <row r="1185" spans="2:2" x14ac:dyDescent="0.25">
      <c r="B1185"/>
    </row>
    <row r="1186" spans="2:2" x14ac:dyDescent="0.25">
      <c r="B1186"/>
    </row>
    <row r="1187" spans="2:2" x14ac:dyDescent="0.25">
      <c r="B1187"/>
    </row>
    <row r="1188" spans="2:2" x14ac:dyDescent="0.25">
      <c r="B1188"/>
    </row>
    <row r="1189" spans="2:2" x14ac:dyDescent="0.25">
      <c r="B1189"/>
    </row>
    <row r="1190" spans="2:2" x14ac:dyDescent="0.25">
      <c r="B1190"/>
    </row>
    <row r="1191" spans="2:2" x14ac:dyDescent="0.25">
      <c r="B1191"/>
    </row>
    <row r="1192" spans="2:2" x14ac:dyDescent="0.25">
      <c r="B1192"/>
    </row>
    <row r="1193" spans="2:2" x14ac:dyDescent="0.25">
      <c r="B1193"/>
    </row>
    <row r="1194" spans="2:2" x14ac:dyDescent="0.25">
      <c r="B1194"/>
    </row>
    <row r="1195" spans="2:2" x14ac:dyDescent="0.25">
      <c r="B1195"/>
    </row>
    <row r="1196" spans="2:2" x14ac:dyDescent="0.25">
      <c r="B1196"/>
    </row>
    <row r="1197" spans="2:2" x14ac:dyDescent="0.25">
      <c r="B1197"/>
    </row>
    <row r="1198" spans="2:2" x14ac:dyDescent="0.25">
      <c r="B1198"/>
    </row>
    <row r="1199" spans="2:2" x14ac:dyDescent="0.25">
      <c r="B1199"/>
    </row>
    <row r="1200" spans="2:2" x14ac:dyDescent="0.25">
      <c r="B1200"/>
    </row>
    <row r="1201" spans="2:2" x14ac:dyDescent="0.25">
      <c r="B1201"/>
    </row>
    <row r="1202" spans="2:2" x14ac:dyDescent="0.25">
      <c r="B1202"/>
    </row>
    <row r="1203" spans="2:2" x14ac:dyDescent="0.25">
      <c r="B1203"/>
    </row>
    <row r="1204" spans="2:2" x14ac:dyDescent="0.25">
      <c r="B1204"/>
    </row>
    <row r="1205" spans="2:2" x14ac:dyDescent="0.25">
      <c r="B1205"/>
    </row>
    <row r="1206" spans="2:2" x14ac:dyDescent="0.25">
      <c r="B1206"/>
    </row>
    <row r="1207" spans="2:2" x14ac:dyDescent="0.25">
      <c r="B1207"/>
    </row>
    <row r="1208" spans="2:2" x14ac:dyDescent="0.25">
      <c r="B1208"/>
    </row>
    <row r="1209" spans="2:2" x14ac:dyDescent="0.25">
      <c r="B1209"/>
    </row>
    <row r="1210" spans="2:2" x14ac:dyDescent="0.25">
      <c r="B1210"/>
    </row>
    <row r="1211" spans="2:2" x14ac:dyDescent="0.25">
      <c r="B1211"/>
    </row>
    <row r="1212" spans="2:2" x14ac:dyDescent="0.25">
      <c r="B1212"/>
    </row>
    <row r="1213" spans="2:2" x14ac:dyDescent="0.25">
      <c r="B1213"/>
    </row>
    <row r="1214" spans="2:2" x14ac:dyDescent="0.25">
      <c r="B1214"/>
    </row>
    <row r="1215" spans="2:2" x14ac:dyDescent="0.25">
      <c r="B1215"/>
    </row>
    <row r="1216" spans="2:2" x14ac:dyDescent="0.25">
      <c r="B1216"/>
    </row>
    <row r="1217" spans="2:2" x14ac:dyDescent="0.25">
      <c r="B1217"/>
    </row>
    <row r="1218" spans="2:2" x14ac:dyDescent="0.25">
      <c r="B1218"/>
    </row>
    <row r="1219" spans="2:2" x14ac:dyDescent="0.25">
      <c r="B1219"/>
    </row>
    <row r="1220" spans="2:2" x14ac:dyDescent="0.25">
      <c r="B1220"/>
    </row>
    <row r="1221" spans="2:2" x14ac:dyDescent="0.25">
      <c r="B1221"/>
    </row>
    <row r="1222" spans="2:2" x14ac:dyDescent="0.25">
      <c r="B1222"/>
    </row>
    <row r="1223" spans="2:2" x14ac:dyDescent="0.25">
      <c r="B1223"/>
    </row>
    <row r="1224" spans="2:2" x14ac:dyDescent="0.25">
      <c r="B1224"/>
    </row>
    <row r="1225" spans="2:2" x14ac:dyDescent="0.25">
      <c r="B1225"/>
    </row>
    <row r="1226" spans="2:2" x14ac:dyDescent="0.25">
      <c r="B1226"/>
    </row>
    <row r="1227" spans="2:2" x14ac:dyDescent="0.25">
      <c r="B1227"/>
    </row>
    <row r="1228" spans="2:2" x14ac:dyDescent="0.25">
      <c r="B1228"/>
    </row>
    <row r="1229" spans="2:2" x14ac:dyDescent="0.25">
      <c r="B1229"/>
    </row>
    <row r="1230" spans="2:2" x14ac:dyDescent="0.25">
      <c r="B1230"/>
    </row>
    <row r="1231" spans="2:2" x14ac:dyDescent="0.25">
      <c r="B1231"/>
    </row>
    <row r="1232" spans="2:2" x14ac:dyDescent="0.25">
      <c r="B1232"/>
    </row>
    <row r="1233" spans="2:2" x14ac:dyDescent="0.25">
      <c r="B1233"/>
    </row>
    <row r="1234" spans="2:2" x14ac:dyDescent="0.25">
      <c r="B1234"/>
    </row>
    <row r="1235" spans="2:2" x14ac:dyDescent="0.25">
      <c r="B1235"/>
    </row>
    <row r="1236" spans="2:2" x14ac:dyDescent="0.25">
      <c r="B1236"/>
    </row>
    <row r="1237" spans="2:2" x14ac:dyDescent="0.25">
      <c r="B1237"/>
    </row>
    <row r="1238" spans="2:2" x14ac:dyDescent="0.25">
      <c r="B1238"/>
    </row>
    <row r="1239" spans="2:2" x14ac:dyDescent="0.25">
      <c r="B1239"/>
    </row>
    <row r="1240" spans="2:2" x14ac:dyDescent="0.25">
      <c r="B1240"/>
    </row>
    <row r="1241" spans="2:2" x14ac:dyDescent="0.25">
      <c r="B1241"/>
    </row>
    <row r="1242" spans="2:2" x14ac:dyDescent="0.25">
      <c r="B1242"/>
    </row>
    <row r="1243" spans="2:2" x14ac:dyDescent="0.25">
      <c r="B1243"/>
    </row>
    <row r="1244" spans="2:2" x14ac:dyDescent="0.25">
      <c r="B1244"/>
    </row>
    <row r="1245" spans="2:2" x14ac:dyDescent="0.25">
      <c r="B1245"/>
    </row>
    <row r="1246" spans="2:2" x14ac:dyDescent="0.25">
      <c r="B1246"/>
    </row>
    <row r="1247" spans="2:2" x14ac:dyDescent="0.25">
      <c r="B1247"/>
    </row>
    <row r="1248" spans="2:2" x14ac:dyDescent="0.25">
      <c r="B1248"/>
    </row>
    <row r="1249" spans="2:2" x14ac:dyDescent="0.25">
      <c r="B1249"/>
    </row>
    <row r="1250" spans="2:2" x14ac:dyDescent="0.25">
      <c r="B1250"/>
    </row>
    <row r="1251" spans="2:2" x14ac:dyDescent="0.25">
      <c r="B1251"/>
    </row>
    <row r="1252" spans="2:2" x14ac:dyDescent="0.25">
      <c r="B1252"/>
    </row>
    <row r="1253" spans="2:2" x14ac:dyDescent="0.25">
      <c r="B1253"/>
    </row>
    <row r="1254" spans="2:2" x14ac:dyDescent="0.25">
      <c r="B1254"/>
    </row>
    <row r="1255" spans="2:2" x14ac:dyDescent="0.25">
      <c r="B1255"/>
    </row>
    <row r="1256" spans="2:2" x14ac:dyDescent="0.25">
      <c r="B1256"/>
    </row>
    <row r="1257" spans="2:2" x14ac:dyDescent="0.25">
      <c r="B1257"/>
    </row>
    <row r="1258" spans="2:2" x14ac:dyDescent="0.25">
      <c r="B1258"/>
    </row>
    <row r="1259" spans="2:2" x14ac:dyDescent="0.25">
      <c r="B1259"/>
    </row>
    <row r="1260" spans="2:2" x14ac:dyDescent="0.25">
      <c r="B1260"/>
    </row>
    <row r="1261" spans="2:2" x14ac:dyDescent="0.25">
      <c r="B1261"/>
    </row>
    <row r="1262" spans="2:2" x14ac:dyDescent="0.25">
      <c r="B1262"/>
    </row>
    <row r="1263" spans="2:2" x14ac:dyDescent="0.25">
      <c r="B1263"/>
    </row>
    <row r="1264" spans="2:2" x14ac:dyDescent="0.25">
      <c r="B1264"/>
    </row>
    <row r="1265" spans="2:2" x14ac:dyDescent="0.25">
      <c r="B1265"/>
    </row>
    <row r="1266" spans="2:2" x14ac:dyDescent="0.25">
      <c r="B1266"/>
    </row>
    <row r="1267" spans="2:2" x14ac:dyDescent="0.25">
      <c r="B1267"/>
    </row>
    <row r="1268" spans="2:2" x14ac:dyDescent="0.25">
      <c r="B1268"/>
    </row>
    <row r="1269" spans="2:2" x14ac:dyDescent="0.25">
      <c r="B1269"/>
    </row>
    <row r="1270" spans="2:2" x14ac:dyDescent="0.25">
      <c r="B1270"/>
    </row>
    <row r="1271" spans="2:2" x14ac:dyDescent="0.25">
      <c r="B1271"/>
    </row>
    <row r="1272" spans="2:2" x14ac:dyDescent="0.25">
      <c r="B1272"/>
    </row>
    <row r="1273" spans="2:2" x14ac:dyDescent="0.25">
      <c r="B1273"/>
    </row>
    <row r="1274" spans="2:2" x14ac:dyDescent="0.25">
      <c r="B1274"/>
    </row>
    <row r="1275" spans="2:2" x14ac:dyDescent="0.25">
      <c r="B1275"/>
    </row>
    <row r="1276" spans="2:2" x14ac:dyDescent="0.25">
      <c r="B1276"/>
    </row>
    <row r="1277" spans="2:2" x14ac:dyDescent="0.25">
      <c r="B1277"/>
    </row>
    <row r="1278" spans="2:2" x14ac:dyDescent="0.25">
      <c r="B1278"/>
    </row>
    <row r="1279" spans="2:2" x14ac:dyDescent="0.25">
      <c r="B1279"/>
    </row>
    <row r="1280" spans="2:2" x14ac:dyDescent="0.25">
      <c r="B1280"/>
    </row>
    <row r="1281" spans="2:2" x14ac:dyDescent="0.25">
      <c r="B1281"/>
    </row>
    <row r="1282" spans="2:2" x14ac:dyDescent="0.25">
      <c r="B1282"/>
    </row>
    <row r="1283" spans="2:2" x14ac:dyDescent="0.25">
      <c r="B1283"/>
    </row>
    <row r="1284" spans="2:2" x14ac:dyDescent="0.25">
      <c r="B1284"/>
    </row>
    <row r="1285" spans="2:2" x14ac:dyDescent="0.25">
      <c r="B1285"/>
    </row>
    <row r="1286" spans="2:2" x14ac:dyDescent="0.25">
      <c r="B1286"/>
    </row>
    <row r="1287" spans="2:2" x14ac:dyDescent="0.25">
      <c r="B1287"/>
    </row>
    <row r="1288" spans="2:2" x14ac:dyDescent="0.25">
      <c r="B1288"/>
    </row>
    <row r="1289" spans="2:2" x14ac:dyDescent="0.25">
      <c r="B1289"/>
    </row>
    <row r="1290" spans="2:2" x14ac:dyDescent="0.25">
      <c r="B1290"/>
    </row>
    <row r="1291" spans="2:2" x14ac:dyDescent="0.25">
      <c r="B1291"/>
    </row>
    <row r="1292" spans="2:2" x14ac:dyDescent="0.25">
      <c r="B1292"/>
    </row>
    <row r="1293" spans="2:2" x14ac:dyDescent="0.25">
      <c r="B1293"/>
    </row>
    <row r="1294" spans="2:2" x14ac:dyDescent="0.25">
      <c r="B1294"/>
    </row>
    <row r="1295" spans="2:2" x14ac:dyDescent="0.25">
      <c r="B1295"/>
    </row>
    <row r="1296" spans="2:2" x14ac:dyDescent="0.25">
      <c r="B1296"/>
    </row>
    <row r="1297" spans="2:2" x14ac:dyDescent="0.25">
      <c r="B1297"/>
    </row>
    <row r="1298" spans="2:2" x14ac:dyDescent="0.25">
      <c r="B1298"/>
    </row>
    <row r="1299" spans="2:2" x14ac:dyDescent="0.25">
      <c r="B1299"/>
    </row>
    <row r="1300" spans="2:2" x14ac:dyDescent="0.25">
      <c r="B1300"/>
    </row>
    <row r="1301" spans="2:2" x14ac:dyDescent="0.25">
      <c r="B1301"/>
    </row>
    <row r="1302" spans="2:2" x14ac:dyDescent="0.25">
      <c r="B1302"/>
    </row>
    <row r="1303" spans="2:2" x14ac:dyDescent="0.25">
      <c r="B1303"/>
    </row>
    <row r="1304" spans="2:2" x14ac:dyDescent="0.25">
      <c r="B1304"/>
    </row>
    <row r="1305" spans="2:2" x14ac:dyDescent="0.25">
      <c r="B1305"/>
    </row>
    <row r="1306" spans="2:2" x14ac:dyDescent="0.25">
      <c r="B1306"/>
    </row>
    <row r="1307" spans="2:2" x14ac:dyDescent="0.25">
      <c r="B1307"/>
    </row>
    <row r="1308" spans="2:2" x14ac:dyDescent="0.25">
      <c r="B1308"/>
    </row>
    <row r="1309" spans="2:2" x14ac:dyDescent="0.25">
      <c r="B1309"/>
    </row>
    <row r="1310" spans="2:2" x14ac:dyDescent="0.25">
      <c r="B1310"/>
    </row>
    <row r="1311" spans="2:2" x14ac:dyDescent="0.25">
      <c r="B1311"/>
    </row>
    <row r="1312" spans="2:2" x14ac:dyDescent="0.25">
      <c r="B1312"/>
    </row>
    <row r="1313" spans="2:2" x14ac:dyDescent="0.25">
      <c r="B1313"/>
    </row>
    <row r="1314" spans="2:2" x14ac:dyDescent="0.25">
      <c r="B1314"/>
    </row>
    <row r="1315" spans="2:2" x14ac:dyDescent="0.25">
      <c r="B1315"/>
    </row>
    <row r="1316" spans="2:2" x14ac:dyDescent="0.25">
      <c r="B1316"/>
    </row>
    <row r="1317" spans="2:2" x14ac:dyDescent="0.25">
      <c r="B1317"/>
    </row>
    <row r="1318" spans="2:2" x14ac:dyDescent="0.25">
      <c r="B1318"/>
    </row>
    <row r="1319" spans="2:2" x14ac:dyDescent="0.25">
      <c r="B1319"/>
    </row>
    <row r="1320" spans="2:2" x14ac:dyDescent="0.25">
      <c r="B1320"/>
    </row>
    <row r="1321" spans="2:2" x14ac:dyDescent="0.25">
      <c r="B1321"/>
    </row>
    <row r="1322" spans="2:2" x14ac:dyDescent="0.25">
      <c r="B1322"/>
    </row>
    <row r="1323" spans="2:2" x14ac:dyDescent="0.25">
      <c r="B1323"/>
    </row>
    <row r="1324" spans="2:2" x14ac:dyDescent="0.25">
      <c r="B1324"/>
    </row>
    <row r="1325" spans="2:2" x14ac:dyDescent="0.25">
      <c r="B1325"/>
    </row>
    <row r="1326" spans="2:2" x14ac:dyDescent="0.25">
      <c r="B1326"/>
    </row>
    <row r="1327" spans="2:2" x14ac:dyDescent="0.25">
      <c r="B1327"/>
    </row>
    <row r="1328" spans="2:2" x14ac:dyDescent="0.25">
      <c r="B1328"/>
    </row>
    <row r="1329" spans="2:2" x14ac:dyDescent="0.25">
      <c r="B1329"/>
    </row>
    <row r="1330" spans="2:2" x14ac:dyDescent="0.25">
      <c r="B1330"/>
    </row>
    <row r="1331" spans="2:2" x14ac:dyDescent="0.25">
      <c r="B1331"/>
    </row>
    <row r="1332" spans="2:2" x14ac:dyDescent="0.25">
      <c r="B1332"/>
    </row>
    <row r="1333" spans="2:2" x14ac:dyDescent="0.25">
      <c r="B1333"/>
    </row>
    <row r="1334" spans="2:2" x14ac:dyDescent="0.25">
      <c r="B1334"/>
    </row>
    <row r="1335" spans="2:2" x14ac:dyDescent="0.25">
      <c r="B1335"/>
    </row>
    <row r="1336" spans="2:2" x14ac:dyDescent="0.25">
      <c r="B1336"/>
    </row>
    <row r="1337" spans="2:2" x14ac:dyDescent="0.25">
      <c r="B1337"/>
    </row>
    <row r="1338" spans="2:2" x14ac:dyDescent="0.25">
      <c r="B1338"/>
    </row>
    <row r="1339" spans="2:2" x14ac:dyDescent="0.25">
      <c r="B1339"/>
    </row>
    <row r="1340" spans="2:2" x14ac:dyDescent="0.25">
      <c r="B1340"/>
    </row>
    <row r="1341" spans="2:2" x14ac:dyDescent="0.25">
      <c r="B1341"/>
    </row>
    <row r="1342" spans="2:2" x14ac:dyDescent="0.25">
      <c r="B1342"/>
    </row>
    <row r="1343" spans="2:2" x14ac:dyDescent="0.25">
      <c r="B1343"/>
    </row>
    <row r="1344" spans="2:2" x14ac:dyDescent="0.25">
      <c r="B1344"/>
    </row>
    <row r="1345" spans="2:2" x14ac:dyDescent="0.25">
      <c r="B1345"/>
    </row>
    <row r="1346" spans="2:2" x14ac:dyDescent="0.25">
      <c r="B1346"/>
    </row>
    <row r="1347" spans="2:2" x14ac:dyDescent="0.25">
      <c r="B1347"/>
    </row>
    <row r="1348" spans="2:2" x14ac:dyDescent="0.25">
      <c r="B1348"/>
    </row>
    <row r="1349" spans="2:2" x14ac:dyDescent="0.25">
      <c r="B1349"/>
    </row>
    <row r="1350" spans="2:2" x14ac:dyDescent="0.25">
      <c r="B1350"/>
    </row>
    <row r="1351" spans="2:2" x14ac:dyDescent="0.25">
      <c r="B1351"/>
    </row>
    <row r="1352" spans="2:2" x14ac:dyDescent="0.25">
      <c r="B1352"/>
    </row>
    <row r="1353" spans="2:2" x14ac:dyDescent="0.25">
      <c r="B1353"/>
    </row>
    <row r="1354" spans="2:2" x14ac:dyDescent="0.25">
      <c r="B1354"/>
    </row>
    <row r="1355" spans="2:2" x14ac:dyDescent="0.25">
      <c r="B1355"/>
    </row>
    <row r="1356" spans="2:2" x14ac:dyDescent="0.25">
      <c r="B1356"/>
    </row>
    <row r="1357" spans="2:2" x14ac:dyDescent="0.25">
      <c r="B1357"/>
    </row>
    <row r="1358" spans="2:2" x14ac:dyDescent="0.25">
      <c r="B1358"/>
    </row>
    <row r="1359" spans="2:2" x14ac:dyDescent="0.25">
      <c r="B1359"/>
    </row>
    <row r="1360" spans="2:2" x14ac:dyDescent="0.25">
      <c r="B1360"/>
    </row>
    <row r="1361" spans="2:2" x14ac:dyDescent="0.25">
      <c r="B1361"/>
    </row>
    <row r="1362" spans="2:2" x14ac:dyDescent="0.25">
      <c r="B1362"/>
    </row>
    <row r="1363" spans="2:2" x14ac:dyDescent="0.25">
      <c r="B1363"/>
    </row>
    <row r="1364" spans="2:2" x14ac:dyDescent="0.25">
      <c r="B1364"/>
    </row>
    <row r="1365" spans="2:2" x14ac:dyDescent="0.25">
      <c r="B1365"/>
    </row>
    <row r="1366" spans="2:2" x14ac:dyDescent="0.25">
      <c r="B1366"/>
    </row>
    <row r="1367" spans="2:2" x14ac:dyDescent="0.25">
      <c r="B1367"/>
    </row>
    <row r="1368" spans="2:2" x14ac:dyDescent="0.25">
      <c r="B1368"/>
    </row>
    <row r="1369" spans="2:2" x14ac:dyDescent="0.25">
      <c r="B1369"/>
    </row>
    <row r="1370" spans="2:2" x14ac:dyDescent="0.25">
      <c r="B1370"/>
    </row>
    <row r="1371" spans="2:2" x14ac:dyDescent="0.25">
      <c r="B1371"/>
    </row>
    <row r="1372" spans="2:2" x14ac:dyDescent="0.25">
      <c r="B1372"/>
    </row>
    <row r="1373" spans="2:2" x14ac:dyDescent="0.25">
      <c r="B1373"/>
    </row>
    <row r="1374" spans="2:2" x14ac:dyDescent="0.25">
      <c r="B1374"/>
    </row>
    <row r="1375" spans="2:2" x14ac:dyDescent="0.25">
      <c r="B1375"/>
    </row>
    <row r="1376" spans="2:2" x14ac:dyDescent="0.25">
      <c r="B1376"/>
    </row>
    <row r="1377" spans="2:2" x14ac:dyDescent="0.25">
      <c r="B1377"/>
    </row>
    <row r="1378" spans="2:2" x14ac:dyDescent="0.25">
      <c r="B1378"/>
    </row>
    <row r="1379" spans="2:2" x14ac:dyDescent="0.25">
      <c r="B1379"/>
    </row>
    <row r="1380" spans="2:2" x14ac:dyDescent="0.25">
      <c r="B1380"/>
    </row>
    <row r="1381" spans="2:2" x14ac:dyDescent="0.25">
      <c r="B1381"/>
    </row>
    <row r="1382" spans="2:2" x14ac:dyDescent="0.25">
      <c r="B1382"/>
    </row>
    <row r="1383" spans="2:2" x14ac:dyDescent="0.25">
      <c r="B1383"/>
    </row>
    <row r="1384" spans="2:2" x14ac:dyDescent="0.25">
      <c r="B1384"/>
    </row>
    <row r="1385" spans="2:2" x14ac:dyDescent="0.25">
      <c r="B1385"/>
    </row>
    <row r="1386" spans="2:2" x14ac:dyDescent="0.25">
      <c r="B1386"/>
    </row>
    <row r="1387" spans="2:2" x14ac:dyDescent="0.25">
      <c r="B1387"/>
    </row>
    <row r="1388" spans="2:2" x14ac:dyDescent="0.25">
      <c r="B1388"/>
    </row>
    <row r="1389" spans="2:2" x14ac:dyDescent="0.25">
      <c r="B1389"/>
    </row>
    <row r="1390" spans="2:2" x14ac:dyDescent="0.25">
      <c r="B1390"/>
    </row>
    <row r="1391" spans="2:2" x14ac:dyDescent="0.25">
      <c r="B1391"/>
    </row>
    <row r="1392" spans="2:2" x14ac:dyDescent="0.25">
      <c r="B1392"/>
    </row>
    <row r="1393" spans="2:2" x14ac:dyDescent="0.25">
      <c r="B1393"/>
    </row>
    <row r="1394" spans="2:2" x14ac:dyDescent="0.25">
      <c r="B1394"/>
    </row>
    <row r="1395" spans="2:2" x14ac:dyDescent="0.25">
      <c r="B1395"/>
    </row>
    <row r="1396" spans="2:2" x14ac:dyDescent="0.25">
      <c r="B1396"/>
    </row>
    <row r="1397" spans="2:2" x14ac:dyDescent="0.25">
      <c r="B1397"/>
    </row>
    <row r="1398" spans="2:2" x14ac:dyDescent="0.25">
      <c r="B1398"/>
    </row>
    <row r="1399" spans="2:2" x14ac:dyDescent="0.25">
      <c r="B1399"/>
    </row>
    <row r="1400" spans="2:2" x14ac:dyDescent="0.25">
      <c r="B1400"/>
    </row>
    <row r="1401" spans="2:2" x14ac:dyDescent="0.25">
      <c r="B1401"/>
    </row>
    <row r="1402" spans="2:2" x14ac:dyDescent="0.25">
      <c r="B1402"/>
    </row>
    <row r="1403" spans="2:2" x14ac:dyDescent="0.25">
      <c r="B1403"/>
    </row>
    <row r="1404" spans="2:2" x14ac:dyDescent="0.25">
      <c r="B1404"/>
    </row>
    <row r="1405" spans="2:2" x14ac:dyDescent="0.25">
      <c r="B1405"/>
    </row>
    <row r="1406" spans="2:2" x14ac:dyDescent="0.25">
      <c r="B1406"/>
    </row>
    <row r="1407" spans="2:2" x14ac:dyDescent="0.25">
      <c r="B1407"/>
    </row>
    <row r="1408" spans="2:2" x14ac:dyDescent="0.25">
      <c r="B1408"/>
    </row>
    <row r="1409" spans="2:2" x14ac:dyDescent="0.25">
      <c r="B1409"/>
    </row>
    <row r="1410" spans="2:2" x14ac:dyDescent="0.25">
      <c r="B1410"/>
    </row>
    <row r="1411" spans="2:2" x14ac:dyDescent="0.25">
      <c r="B1411"/>
    </row>
    <row r="1412" spans="2:2" x14ac:dyDescent="0.25">
      <c r="B1412"/>
    </row>
    <row r="1413" spans="2:2" x14ac:dyDescent="0.25">
      <c r="B1413"/>
    </row>
    <row r="1414" spans="2:2" x14ac:dyDescent="0.25">
      <c r="B1414"/>
    </row>
    <row r="1415" spans="2:2" x14ac:dyDescent="0.25">
      <c r="B1415"/>
    </row>
    <row r="1416" spans="2:2" x14ac:dyDescent="0.25">
      <c r="B1416"/>
    </row>
    <row r="1417" spans="2:2" x14ac:dyDescent="0.25">
      <c r="B1417"/>
    </row>
    <row r="1418" spans="2:2" x14ac:dyDescent="0.25">
      <c r="B1418"/>
    </row>
    <row r="1419" spans="2:2" x14ac:dyDescent="0.25">
      <c r="B1419"/>
    </row>
    <row r="1420" spans="2:2" x14ac:dyDescent="0.25">
      <c r="B1420"/>
    </row>
    <row r="1421" spans="2:2" x14ac:dyDescent="0.25">
      <c r="B1421"/>
    </row>
    <row r="1422" spans="2:2" x14ac:dyDescent="0.25">
      <c r="B1422"/>
    </row>
    <row r="1423" spans="2:2" x14ac:dyDescent="0.25">
      <c r="B1423"/>
    </row>
    <row r="1424" spans="2:2" x14ac:dyDescent="0.25">
      <c r="B1424"/>
    </row>
    <row r="1425" spans="2:2" x14ac:dyDescent="0.25">
      <c r="B1425"/>
    </row>
    <row r="1426" spans="2:2" x14ac:dyDescent="0.25">
      <c r="B1426"/>
    </row>
    <row r="1427" spans="2:2" x14ac:dyDescent="0.25">
      <c r="B1427"/>
    </row>
    <row r="1428" spans="2:2" x14ac:dyDescent="0.25">
      <c r="B1428"/>
    </row>
    <row r="1429" spans="2:2" x14ac:dyDescent="0.25">
      <c r="B1429"/>
    </row>
    <row r="1430" spans="2:2" x14ac:dyDescent="0.25">
      <c r="B1430"/>
    </row>
    <row r="1431" spans="2:2" x14ac:dyDescent="0.25">
      <c r="B1431"/>
    </row>
    <row r="1432" spans="2:2" x14ac:dyDescent="0.25">
      <c r="B1432"/>
    </row>
    <row r="1433" spans="2:2" x14ac:dyDescent="0.25">
      <c r="B1433"/>
    </row>
    <row r="1434" spans="2:2" x14ac:dyDescent="0.25">
      <c r="B1434"/>
    </row>
    <row r="1435" spans="2:2" x14ac:dyDescent="0.25">
      <c r="B1435"/>
    </row>
    <row r="1436" spans="2:2" x14ac:dyDescent="0.25">
      <c r="B1436"/>
    </row>
    <row r="1437" spans="2:2" x14ac:dyDescent="0.25">
      <c r="B1437"/>
    </row>
    <row r="1438" spans="2:2" x14ac:dyDescent="0.25">
      <c r="B1438"/>
    </row>
    <row r="1439" spans="2:2" x14ac:dyDescent="0.25">
      <c r="B1439"/>
    </row>
    <row r="1440" spans="2:2" x14ac:dyDescent="0.25">
      <c r="B1440"/>
    </row>
    <row r="1441" spans="2:2" x14ac:dyDescent="0.25">
      <c r="B1441"/>
    </row>
    <row r="1442" spans="2:2" x14ac:dyDescent="0.25">
      <c r="B1442"/>
    </row>
    <row r="1443" spans="2:2" x14ac:dyDescent="0.25">
      <c r="B1443"/>
    </row>
    <row r="1444" spans="2:2" x14ac:dyDescent="0.25">
      <c r="B1444"/>
    </row>
    <row r="1445" spans="2:2" x14ac:dyDescent="0.25">
      <c r="B1445"/>
    </row>
    <row r="1446" spans="2:2" x14ac:dyDescent="0.25">
      <c r="B1446"/>
    </row>
    <row r="1447" spans="2:2" x14ac:dyDescent="0.25">
      <c r="B1447"/>
    </row>
    <row r="1448" spans="2:2" x14ac:dyDescent="0.25">
      <c r="B1448"/>
    </row>
    <row r="1449" spans="2:2" x14ac:dyDescent="0.25">
      <c r="B1449"/>
    </row>
    <row r="1450" spans="2:2" x14ac:dyDescent="0.25">
      <c r="B1450"/>
    </row>
    <row r="1451" spans="2:2" x14ac:dyDescent="0.25">
      <c r="B1451"/>
    </row>
    <row r="1452" spans="2:2" x14ac:dyDescent="0.25">
      <c r="B1452"/>
    </row>
    <row r="1453" spans="2:2" x14ac:dyDescent="0.25">
      <c r="B1453"/>
    </row>
    <row r="1454" spans="2:2" x14ac:dyDescent="0.25">
      <c r="B1454"/>
    </row>
    <row r="1455" spans="2:2" x14ac:dyDescent="0.25">
      <c r="B1455"/>
    </row>
    <row r="1456" spans="2:2" x14ac:dyDescent="0.25">
      <c r="B1456"/>
    </row>
    <row r="1457" spans="2:2" x14ac:dyDescent="0.25">
      <c r="B1457"/>
    </row>
    <row r="1458" spans="2:2" x14ac:dyDescent="0.25">
      <c r="B1458"/>
    </row>
    <row r="1459" spans="2:2" x14ac:dyDescent="0.25">
      <c r="B1459"/>
    </row>
    <row r="1460" spans="2:2" x14ac:dyDescent="0.25">
      <c r="B1460"/>
    </row>
    <row r="1461" spans="2:2" x14ac:dyDescent="0.25">
      <c r="B1461"/>
    </row>
    <row r="1462" spans="2:2" x14ac:dyDescent="0.25">
      <c r="B1462"/>
    </row>
    <row r="1463" spans="2:2" x14ac:dyDescent="0.25">
      <c r="B1463"/>
    </row>
    <row r="1464" spans="2:2" x14ac:dyDescent="0.25">
      <c r="B1464"/>
    </row>
    <row r="1465" spans="2:2" x14ac:dyDescent="0.25">
      <c r="B1465"/>
    </row>
    <row r="1466" spans="2:2" x14ac:dyDescent="0.25">
      <c r="B1466"/>
    </row>
    <row r="1467" spans="2:2" x14ac:dyDescent="0.25">
      <c r="B1467"/>
    </row>
    <row r="1468" spans="2:2" x14ac:dyDescent="0.25">
      <c r="B1468"/>
    </row>
    <row r="1469" spans="2:2" x14ac:dyDescent="0.25">
      <c r="B1469"/>
    </row>
    <row r="1470" spans="2:2" x14ac:dyDescent="0.25">
      <c r="B1470"/>
    </row>
    <row r="1471" spans="2:2" x14ac:dyDescent="0.25">
      <c r="B1471"/>
    </row>
    <row r="1472" spans="2:2" x14ac:dyDescent="0.25">
      <c r="B1472"/>
    </row>
    <row r="1473" spans="2:2" x14ac:dyDescent="0.25">
      <c r="B1473"/>
    </row>
    <row r="1474" spans="2:2" x14ac:dyDescent="0.25">
      <c r="B1474"/>
    </row>
    <row r="1475" spans="2:2" x14ac:dyDescent="0.25">
      <c r="B1475"/>
    </row>
    <row r="1476" spans="2:2" x14ac:dyDescent="0.25">
      <c r="B1476"/>
    </row>
    <row r="1477" spans="2:2" x14ac:dyDescent="0.25">
      <c r="B1477"/>
    </row>
    <row r="1478" spans="2:2" x14ac:dyDescent="0.25">
      <c r="B1478"/>
    </row>
    <row r="1479" spans="2:2" x14ac:dyDescent="0.25">
      <c r="B1479"/>
    </row>
    <row r="1480" spans="2:2" x14ac:dyDescent="0.25">
      <c r="B1480"/>
    </row>
    <row r="1481" spans="2:2" x14ac:dyDescent="0.25">
      <c r="B1481"/>
    </row>
    <row r="1482" spans="2:2" x14ac:dyDescent="0.25">
      <c r="B1482"/>
    </row>
    <row r="1483" spans="2:2" x14ac:dyDescent="0.25">
      <c r="B1483"/>
    </row>
    <row r="1484" spans="2:2" x14ac:dyDescent="0.25">
      <c r="B1484"/>
    </row>
    <row r="1485" spans="2:2" x14ac:dyDescent="0.25">
      <c r="B1485"/>
    </row>
    <row r="1486" spans="2:2" x14ac:dyDescent="0.25">
      <c r="B1486"/>
    </row>
    <row r="1487" spans="2:2" x14ac:dyDescent="0.25">
      <c r="B1487"/>
    </row>
    <row r="1488" spans="2:2" x14ac:dyDescent="0.25">
      <c r="B1488"/>
    </row>
    <row r="1489" spans="2:2" x14ac:dyDescent="0.25">
      <c r="B1489"/>
    </row>
    <row r="1490" spans="2:2" x14ac:dyDescent="0.25">
      <c r="B1490"/>
    </row>
    <row r="1491" spans="2:2" x14ac:dyDescent="0.25">
      <c r="B1491"/>
    </row>
    <row r="1492" spans="2:2" x14ac:dyDescent="0.25">
      <c r="B1492"/>
    </row>
    <row r="1493" spans="2:2" x14ac:dyDescent="0.25">
      <c r="B1493"/>
    </row>
    <row r="1494" spans="2:2" x14ac:dyDescent="0.25">
      <c r="B1494"/>
    </row>
    <row r="1495" spans="2:2" x14ac:dyDescent="0.25">
      <c r="B1495"/>
    </row>
    <row r="1496" spans="2:2" x14ac:dyDescent="0.25">
      <c r="B1496"/>
    </row>
    <row r="1497" spans="2:2" x14ac:dyDescent="0.25">
      <c r="B1497"/>
    </row>
    <row r="1498" spans="2:2" x14ac:dyDescent="0.25">
      <c r="B1498"/>
    </row>
    <row r="1499" spans="2:2" x14ac:dyDescent="0.25">
      <c r="B1499"/>
    </row>
    <row r="1500" spans="2:2" x14ac:dyDescent="0.25">
      <c r="B1500"/>
    </row>
    <row r="1501" spans="2:2" x14ac:dyDescent="0.25">
      <c r="B1501"/>
    </row>
    <row r="1502" spans="2:2" x14ac:dyDescent="0.25">
      <c r="B1502"/>
    </row>
    <row r="1503" spans="2:2" x14ac:dyDescent="0.25">
      <c r="B1503"/>
    </row>
    <row r="1504" spans="2:2" x14ac:dyDescent="0.25">
      <c r="B1504"/>
    </row>
    <row r="1505" spans="2:2" x14ac:dyDescent="0.25">
      <c r="B1505"/>
    </row>
    <row r="1506" spans="2:2" x14ac:dyDescent="0.25">
      <c r="B1506"/>
    </row>
    <row r="1507" spans="2:2" x14ac:dyDescent="0.25">
      <c r="B1507"/>
    </row>
    <row r="1508" spans="2:2" x14ac:dyDescent="0.25">
      <c r="B1508"/>
    </row>
    <row r="1509" spans="2:2" x14ac:dyDescent="0.25">
      <c r="B1509"/>
    </row>
    <row r="1510" spans="2:2" x14ac:dyDescent="0.25">
      <c r="B1510"/>
    </row>
    <row r="1511" spans="2:2" x14ac:dyDescent="0.25">
      <c r="B1511"/>
    </row>
    <row r="1512" spans="2:2" x14ac:dyDescent="0.25">
      <c r="B1512"/>
    </row>
    <row r="1513" spans="2:2" x14ac:dyDescent="0.25">
      <c r="B1513"/>
    </row>
    <row r="1514" spans="2:2" x14ac:dyDescent="0.25">
      <c r="B1514"/>
    </row>
    <row r="1515" spans="2:2" x14ac:dyDescent="0.25">
      <c r="B1515"/>
    </row>
    <row r="1516" spans="2:2" x14ac:dyDescent="0.25">
      <c r="B1516"/>
    </row>
    <row r="1517" spans="2:2" x14ac:dyDescent="0.25">
      <c r="B1517"/>
    </row>
    <row r="1518" spans="2:2" x14ac:dyDescent="0.25">
      <c r="B1518"/>
    </row>
    <row r="1519" spans="2:2" x14ac:dyDescent="0.25">
      <c r="B1519"/>
    </row>
    <row r="1520" spans="2:2" x14ac:dyDescent="0.25">
      <c r="B1520"/>
    </row>
    <row r="1521" spans="2:2" x14ac:dyDescent="0.25">
      <c r="B1521"/>
    </row>
    <row r="1522" spans="2:2" x14ac:dyDescent="0.25">
      <c r="B1522"/>
    </row>
    <row r="1523" spans="2:2" x14ac:dyDescent="0.25">
      <c r="B1523"/>
    </row>
    <row r="1524" spans="2:2" x14ac:dyDescent="0.25">
      <c r="B1524"/>
    </row>
    <row r="1525" spans="2:2" x14ac:dyDescent="0.25">
      <c r="B1525"/>
    </row>
    <row r="1526" spans="2:2" x14ac:dyDescent="0.25">
      <c r="B1526"/>
    </row>
    <row r="1527" spans="2:2" x14ac:dyDescent="0.25">
      <c r="B1527"/>
    </row>
    <row r="1528" spans="2:2" x14ac:dyDescent="0.25">
      <c r="B1528"/>
    </row>
    <row r="1529" spans="2:2" x14ac:dyDescent="0.25">
      <c r="B1529"/>
    </row>
    <row r="1530" spans="2:2" x14ac:dyDescent="0.25">
      <c r="B1530"/>
    </row>
    <row r="1531" spans="2:2" x14ac:dyDescent="0.25">
      <c r="B1531"/>
    </row>
    <row r="1532" spans="2:2" x14ac:dyDescent="0.25">
      <c r="B1532"/>
    </row>
    <row r="1533" spans="2:2" x14ac:dyDescent="0.25">
      <c r="B1533"/>
    </row>
    <row r="1534" spans="2:2" x14ac:dyDescent="0.25">
      <c r="B1534"/>
    </row>
    <row r="1535" spans="2:2" x14ac:dyDescent="0.25">
      <c r="B1535"/>
    </row>
    <row r="1536" spans="2:2" x14ac:dyDescent="0.25">
      <c r="B1536"/>
    </row>
    <row r="1537" spans="2:2" x14ac:dyDescent="0.25">
      <c r="B1537"/>
    </row>
    <row r="1538" spans="2:2" x14ac:dyDescent="0.25">
      <c r="B1538"/>
    </row>
    <row r="1539" spans="2:2" x14ac:dyDescent="0.25">
      <c r="B1539"/>
    </row>
    <row r="1540" spans="2:2" x14ac:dyDescent="0.25">
      <c r="B1540"/>
    </row>
    <row r="1541" spans="2:2" x14ac:dyDescent="0.25">
      <c r="B1541"/>
    </row>
    <row r="1542" spans="2:2" x14ac:dyDescent="0.25">
      <c r="B1542"/>
    </row>
    <row r="1543" spans="2:2" x14ac:dyDescent="0.25">
      <c r="B1543"/>
    </row>
    <row r="1544" spans="2:2" x14ac:dyDescent="0.25">
      <c r="B1544"/>
    </row>
    <row r="1545" spans="2:2" x14ac:dyDescent="0.25">
      <c r="B1545"/>
    </row>
    <row r="1546" spans="2:2" x14ac:dyDescent="0.25">
      <c r="B1546"/>
    </row>
    <row r="1547" spans="2:2" x14ac:dyDescent="0.25">
      <c r="B1547"/>
    </row>
    <row r="1548" spans="2:2" x14ac:dyDescent="0.25">
      <c r="B1548"/>
    </row>
    <row r="1549" spans="2:2" x14ac:dyDescent="0.25">
      <c r="B1549"/>
    </row>
    <row r="1550" spans="2:2" x14ac:dyDescent="0.25">
      <c r="B1550"/>
    </row>
    <row r="1551" spans="2:2" x14ac:dyDescent="0.25">
      <c r="B1551"/>
    </row>
    <row r="1552" spans="2:2" x14ac:dyDescent="0.25">
      <c r="B1552"/>
    </row>
    <row r="1553" spans="2:2" x14ac:dyDescent="0.25">
      <c r="B1553"/>
    </row>
    <row r="1554" spans="2:2" x14ac:dyDescent="0.25">
      <c r="B1554"/>
    </row>
    <row r="1555" spans="2:2" x14ac:dyDescent="0.25">
      <c r="B1555"/>
    </row>
    <row r="1556" spans="2:2" x14ac:dyDescent="0.25">
      <c r="B1556"/>
    </row>
    <row r="1557" spans="2:2" x14ac:dyDescent="0.25">
      <c r="B1557"/>
    </row>
    <row r="1558" spans="2:2" x14ac:dyDescent="0.25">
      <c r="B1558"/>
    </row>
    <row r="1559" spans="2:2" x14ac:dyDescent="0.25">
      <c r="B1559"/>
    </row>
    <row r="1560" spans="2:2" x14ac:dyDescent="0.25">
      <c r="B1560"/>
    </row>
    <row r="1561" spans="2:2" x14ac:dyDescent="0.25">
      <c r="B1561"/>
    </row>
    <row r="1562" spans="2:2" x14ac:dyDescent="0.25">
      <c r="B1562"/>
    </row>
    <row r="1563" spans="2:2" x14ac:dyDescent="0.25">
      <c r="B1563"/>
    </row>
    <row r="1564" spans="2:2" x14ac:dyDescent="0.25">
      <c r="B1564"/>
    </row>
    <row r="1565" spans="2:2" x14ac:dyDescent="0.25">
      <c r="B1565"/>
    </row>
    <row r="1566" spans="2:2" x14ac:dyDescent="0.25">
      <c r="B1566"/>
    </row>
    <row r="1567" spans="2:2" x14ac:dyDescent="0.25">
      <c r="B1567"/>
    </row>
    <row r="1568" spans="2:2" x14ac:dyDescent="0.25">
      <c r="B1568"/>
    </row>
    <row r="1569" spans="2:2" x14ac:dyDescent="0.25">
      <c r="B1569"/>
    </row>
    <row r="1570" spans="2:2" x14ac:dyDescent="0.25">
      <c r="B1570"/>
    </row>
    <row r="1571" spans="2:2" x14ac:dyDescent="0.25">
      <c r="B1571"/>
    </row>
    <row r="1572" spans="2:2" x14ac:dyDescent="0.25">
      <c r="B1572"/>
    </row>
    <row r="1573" spans="2:2" x14ac:dyDescent="0.25">
      <c r="B1573"/>
    </row>
    <row r="1574" spans="2:2" x14ac:dyDescent="0.25">
      <c r="B1574"/>
    </row>
    <row r="1575" spans="2:2" x14ac:dyDescent="0.25">
      <c r="B1575"/>
    </row>
    <row r="1576" spans="2:2" x14ac:dyDescent="0.25">
      <c r="B1576"/>
    </row>
    <row r="1577" spans="2:2" x14ac:dyDescent="0.25">
      <c r="B1577"/>
    </row>
    <row r="1578" spans="2:2" x14ac:dyDescent="0.25">
      <c r="B1578"/>
    </row>
    <row r="1579" spans="2:2" x14ac:dyDescent="0.25">
      <c r="B1579"/>
    </row>
    <row r="1580" spans="2:2" x14ac:dyDescent="0.25">
      <c r="B1580"/>
    </row>
    <row r="1581" spans="2:2" x14ac:dyDescent="0.25">
      <c r="B1581"/>
    </row>
    <row r="1582" spans="2:2" x14ac:dyDescent="0.25">
      <c r="B1582"/>
    </row>
    <row r="1583" spans="2:2" x14ac:dyDescent="0.25">
      <c r="B1583"/>
    </row>
    <row r="1584" spans="2:2" x14ac:dyDescent="0.25">
      <c r="B1584"/>
    </row>
    <row r="1585" spans="2:2" x14ac:dyDescent="0.25">
      <c r="B1585"/>
    </row>
    <row r="1586" spans="2:2" x14ac:dyDescent="0.25">
      <c r="B1586"/>
    </row>
    <row r="1587" spans="2:2" x14ac:dyDescent="0.25">
      <c r="B1587"/>
    </row>
    <row r="1588" spans="2:2" x14ac:dyDescent="0.25">
      <c r="B1588"/>
    </row>
    <row r="1589" spans="2:2" x14ac:dyDescent="0.25">
      <c r="B1589"/>
    </row>
    <row r="1590" spans="2:2" x14ac:dyDescent="0.25">
      <c r="B1590"/>
    </row>
    <row r="1591" spans="2:2" x14ac:dyDescent="0.25">
      <c r="B1591"/>
    </row>
    <row r="1592" spans="2:2" x14ac:dyDescent="0.25">
      <c r="B1592"/>
    </row>
    <row r="1593" spans="2:2" x14ac:dyDescent="0.25">
      <c r="B1593"/>
    </row>
    <row r="1594" spans="2:2" x14ac:dyDescent="0.25">
      <c r="B1594"/>
    </row>
    <row r="1595" spans="2:2" x14ac:dyDescent="0.25">
      <c r="B1595"/>
    </row>
    <row r="1596" spans="2:2" x14ac:dyDescent="0.25">
      <c r="B1596"/>
    </row>
    <row r="1597" spans="2:2" x14ac:dyDescent="0.25">
      <c r="B1597"/>
    </row>
    <row r="1598" spans="2:2" x14ac:dyDescent="0.25">
      <c r="B1598"/>
    </row>
    <row r="1599" spans="2:2" x14ac:dyDescent="0.25">
      <c r="B1599"/>
    </row>
    <row r="1600" spans="2:2" x14ac:dyDescent="0.25">
      <c r="B1600"/>
    </row>
    <row r="1601" spans="2:2" x14ac:dyDescent="0.25">
      <c r="B1601"/>
    </row>
    <row r="1602" spans="2:2" x14ac:dyDescent="0.25">
      <c r="B1602"/>
    </row>
    <row r="1603" spans="2:2" x14ac:dyDescent="0.25">
      <c r="B1603"/>
    </row>
    <row r="1604" spans="2:2" x14ac:dyDescent="0.25">
      <c r="B1604"/>
    </row>
    <row r="1605" spans="2:2" x14ac:dyDescent="0.25">
      <c r="B1605"/>
    </row>
    <row r="1606" spans="2:2" x14ac:dyDescent="0.25">
      <c r="B1606"/>
    </row>
    <row r="1607" spans="2:2" x14ac:dyDescent="0.25">
      <c r="B1607"/>
    </row>
    <row r="1608" spans="2:2" x14ac:dyDescent="0.25">
      <c r="B1608"/>
    </row>
    <row r="1609" spans="2:2" x14ac:dyDescent="0.25">
      <c r="B1609"/>
    </row>
    <row r="1610" spans="2:2" x14ac:dyDescent="0.25">
      <c r="B1610"/>
    </row>
    <row r="1611" spans="2:2" x14ac:dyDescent="0.25">
      <c r="B1611"/>
    </row>
    <row r="1612" spans="2:2" x14ac:dyDescent="0.25">
      <c r="B1612"/>
    </row>
    <row r="1613" spans="2:2" x14ac:dyDescent="0.25">
      <c r="B1613"/>
    </row>
    <row r="1614" spans="2:2" x14ac:dyDescent="0.25">
      <c r="B1614"/>
    </row>
    <row r="1615" spans="2:2" x14ac:dyDescent="0.25">
      <c r="B1615"/>
    </row>
    <row r="1616" spans="2:2" x14ac:dyDescent="0.25">
      <c r="B1616"/>
    </row>
    <row r="1617" spans="2:2" x14ac:dyDescent="0.25">
      <c r="B1617"/>
    </row>
    <row r="1618" spans="2:2" x14ac:dyDescent="0.25">
      <c r="B1618"/>
    </row>
    <row r="1619" spans="2:2" x14ac:dyDescent="0.25">
      <c r="B1619"/>
    </row>
    <row r="1620" spans="2:2" x14ac:dyDescent="0.25">
      <c r="B1620"/>
    </row>
    <row r="1621" spans="2:2" x14ac:dyDescent="0.25">
      <c r="B1621"/>
    </row>
    <row r="1622" spans="2:2" x14ac:dyDescent="0.25">
      <c r="B1622"/>
    </row>
    <row r="1623" spans="2:2" x14ac:dyDescent="0.25">
      <c r="B1623"/>
    </row>
    <row r="1624" spans="2:2" x14ac:dyDescent="0.25">
      <c r="B1624"/>
    </row>
    <row r="1625" spans="2:2" x14ac:dyDescent="0.25">
      <c r="B1625"/>
    </row>
    <row r="1626" spans="2:2" x14ac:dyDescent="0.25">
      <c r="B1626"/>
    </row>
    <row r="1627" spans="2:2" x14ac:dyDescent="0.25">
      <c r="B1627"/>
    </row>
    <row r="1628" spans="2:2" x14ac:dyDescent="0.25">
      <c r="B1628"/>
    </row>
    <row r="1629" spans="2:2" x14ac:dyDescent="0.25">
      <c r="B1629"/>
    </row>
    <row r="1630" spans="2:2" x14ac:dyDescent="0.25">
      <c r="B1630"/>
    </row>
    <row r="1631" spans="2:2" x14ac:dyDescent="0.25">
      <c r="B1631"/>
    </row>
    <row r="1632" spans="2:2" x14ac:dyDescent="0.25">
      <c r="B1632"/>
    </row>
    <row r="1633" spans="2:2" x14ac:dyDescent="0.25">
      <c r="B1633"/>
    </row>
    <row r="1634" spans="2:2" x14ac:dyDescent="0.25">
      <c r="B1634"/>
    </row>
    <row r="1635" spans="2:2" x14ac:dyDescent="0.25">
      <c r="B1635"/>
    </row>
    <row r="1636" spans="2:2" x14ac:dyDescent="0.25">
      <c r="B1636"/>
    </row>
    <row r="1637" spans="2:2" x14ac:dyDescent="0.25">
      <c r="B1637"/>
    </row>
    <row r="1638" spans="2:2" x14ac:dyDescent="0.25">
      <c r="B1638"/>
    </row>
    <row r="1639" spans="2:2" x14ac:dyDescent="0.25">
      <c r="B1639"/>
    </row>
    <row r="1640" spans="2:2" x14ac:dyDescent="0.25">
      <c r="B1640"/>
    </row>
    <row r="1641" spans="2:2" x14ac:dyDescent="0.25">
      <c r="B1641"/>
    </row>
    <row r="1642" spans="2:2" x14ac:dyDescent="0.25">
      <c r="B1642"/>
    </row>
    <row r="1643" spans="2:2" x14ac:dyDescent="0.25">
      <c r="B1643"/>
    </row>
    <row r="1644" spans="2:2" x14ac:dyDescent="0.25">
      <c r="B1644"/>
    </row>
    <row r="1645" spans="2:2" x14ac:dyDescent="0.25">
      <c r="B1645"/>
    </row>
    <row r="1646" spans="2:2" x14ac:dyDescent="0.25">
      <c r="B1646"/>
    </row>
    <row r="1647" spans="2:2" x14ac:dyDescent="0.25">
      <c r="B1647"/>
    </row>
    <row r="1648" spans="2:2" x14ac:dyDescent="0.25">
      <c r="B1648"/>
    </row>
    <row r="1649" spans="2:2" x14ac:dyDescent="0.25">
      <c r="B1649"/>
    </row>
    <row r="1650" spans="2:2" x14ac:dyDescent="0.25">
      <c r="B1650"/>
    </row>
    <row r="1651" spans="2:2" x14ac:dyDescent="0.25">
      <c r="B1651"/>
    </row>
    <row r="1652" spans="2:2" x14ac:dyDescent="0.25">
      <c r="B1652"/>
    </row>
    <row r="1653" spans="2:2" x14ac:dyDescent="0.25">
      <c r="B1653"/>
    </row>
    <row r="1654" spans="2:2" x14ac:dyDescent="0.25">
      <c r="B1654"/>
    </row>
    <row r="1655" spans="2:2" x14ac:dyDescent="0.25">
      <c r="B1655"/>
    </row>
    <row r="1656" spans="2:2" x14ac:dyDescent="0.25">
      <c r="B1656"/>
    </row>
    <row r="1657" spans="2:2" x14ac:dyDescent="0.25">
      <c r="B1657"/>
    </row>
    <row r="1658" spans="2:2" x14ac:dyDescent="0.25">
      <c r="B1658"/>
    </row>
    <row r="1659" spans="2:2" x14ac:dyDescent="0.25">
      <c r="B1659"/>
    </row>
    <row r="1660" spans="2:2" x14ac:dyDescent="0.25">
      <c r="B1660"/>
    </row>
    <row r="1661" spans="2:2" x14ac:dyDescent="0.25">
      <c r="B1661"/>
    </row>
    <row r="1662" spans="2:2" x14ac:dyDescent="0.25">
      <c r="B1662"/>
    </row>
    <row r="1663" spans="2:2" x14ac:dyDescent="0.25">
      <c r="B1663"/>
    </row>
    <row r="1664" spans="2:2" x14ac:dyDescent="0.25">
      <c r="B1664"/>
    </row>
    <row r="1665" spans="2:2" x14ac:dyDescent="0.25">
      <c r="B1665"/>
    </row>
    <row r="1666" spans="2:2" x14ac:dyDescent="0.25">
      <c r="B1666"/>
    </row>
    <row r="1667" spans="2:2" x14ac:dyDescent="0.25">
      <c r="B1667"/>
    </row>
    <row r="1668" spans="2:2" x14ac:dyDescent="0.25">
      <c r="B1668"/>
    </row>
    <row r="1669" spans="2:2" x14ac:dyDescent="0.25">
      <c r="B1669"/>
    </row>
    <row r="1670" spans="2:2" x14ac:dyDescent="0.25">
      <c r="B1670"/>
    </row>
    <row r="1671" spans="2:2" x14ac:dyDescent="0.25">
      <c r="B1671"/>
    </row>
    <row r="1672" spans="2:2" x14ac:dyDescent="0.25">
      <c r="B1672"/>
    </row>
    <row r="1673" spans="2:2" x14ac:dyDescent="0.25">
      <c r="B1673"/>
    </row>
    <row r="1674" spans="2:2" x14ac:dyDescent="0.25">
      <c r="B1674"/>
    </row>
    <row r="1675" spans="2:2" x14ac:dyDescent="0.25">
      <c r="B1675"/>
    </row>
    <row r="1676" spans="2:2" x14ac:dyDescent="0.25">
      <c r="B1676"/>
    </row>
    <row r="1677" spans="2:2" x14ac:dyDescent="0.25">
      <c r="B1677"/>
    </row>
    <row r="1678" spans="2:2" x14ac:dyDescent="0.25">
      <c r="B1678"/>
    </row>
    <row r="1679" spans="2:2" x14ac:dyDescent="0.25">
      <c r="B1679"/>
    </row>
    <row r="1680" spans="2:2" x14ac:dyDescent="0.25">
      <c r="B1680"/>
    </row>
    <row r="1681" spans="2:2" x14ac:dyDescent="0.25">
      <c r="B1681"/>
    </row>
    <row r="1682" spans="2:2" x14ac:dyDescent="0.25">
      <c r="B1682"/>
    </row>
    <row r="1683" spans="2:2" x14ac:dyDescent="0.25">
      <c r="B1683"/>
    </row>
    <row r="1684" spans="2:2" x14ac:dyDescent="0.25">
      <c r="B1684"/>
    </row>
    <row r="1685" spans="2:2" x14ac:dyDescent="0.25">
      <c r="B1685"/>
    </row>
    <row r="1686" spans="2:2" x14ac:dyDescent="0.25">
      <c r="B1686"/>
    </row>
    <row r="1687" spans="2:2" x14ac:dyDescent="0.25">
      <c r="B1687"/>
    </row>
    <row r="1688" spans="2:2" x14ac:dyDescent="0.25">
      <c r="B1688"/>
    </row>
    <row r="1689" spans="2:2" x14ac:dyDescent="0.25">
      <c r="B1689"/>
    </row>
    <row r="1690" spans="2:2" x14ac:dyDescent="0.25">
      <c r="B1690"/>
    </row>
    <row r="1691" spans="2:2" x14ac:dyDescent="0.25">
      <c r="B1691"/>
    </row>
    <row r="1692" spans="2:2" x14ac:dyDescent="0.25">
      <c r="B1692"/>
    </row>
    <row r="1693" spans="2:2" x14ac:dyDescent="0.25">
      <c r="B1693"/>
    </row>
    <row r="1694" spans="2:2" x14ac:dyDescent="0.25">
      <c r="B1694"/>
    </row>
    <row r="1695" spans="2:2" x14ac:dyDescent="0.25">
      <c r="B1695"/>
    </row>
    <row r="1696" spans="2:2" x14ac:dyDescent="0.25">
      <c r="B1696"/>
    </row>
    <row r="1697" spans="2:2" x14ac:dyDescent="0.25">
      <c r="B1697"/>
    </row>
    <row r="1698" spans="2:2" x14ac:dyDescent="0.25">
      <c r="B1698"/>
    </row>
    <row r="1699" spans="2:2" x14ac:dyDescent="0.25">
      <c r="B1699"/>
    </row>
    <row r="1700" spans="2:2" x14ac:dyDescent="0.25">
      <c r="B1700"/>
    </row>
    <row r="1701" spans="2:2" x14ac:dyDescent="0.25">
      <c r="B1701"/>
    </row>
    <row r="1702" spans="2:2" x14ac:dyDescent="0.25">
      <c r="B1702"/>
    </row>
    <row r="1703" spans="2:2" x14ac:dyDescent="0.25">
      <c r="B1703"/>
    </row>
    <row r="1704" spans="2:2" x14ac:dyDescent="0.25">
      <c r="B1704"/>
    </row>
    <row r="1705" spans="2:2" x14ac:dyDescent="0.25">
      <c r="B1705"/>
    </row>
    <row r="1706" spans="2:2" x14ac:dyDescent="0.25">
      <c r="B1706"/>
    </row>
    <row r="1707" spans="2:2" x14ac:dyDescent="0.25">
      <c r="B1707"/>
    </row>
    <row r="1708" spans="2:2" x14ac:dyDescent="0.25">
      <c r="B1708"/>
    </row>
    <row r="1709" spans="2:2" x14ac:dyDescent="0.25">
      <c r="B1709"/>
    </row>
    <row r="1710" spans="2:2" x14ac:dyDescent="0.25">
      <c r="B1710"/>
    </row>
    <row r="1711" spans="2:2" x14ac:dyDescent="0.25">
      <c r="B1711"/>
    </row>
    <row r="1712" spans="2:2" x14ac:dyDescent="0.25">
      <c r="B1712"/>
    </row>
    <row r="1713" spans="2:2" x14ac:dyDescent="0.25">
      <c r="B1713"/>
    </row>
    <row r="1714" spans="2:2" x14ac:dyDescent="0.25">
      <c r="B1714"/>
    </row>
    <row r="1715" spans="2:2" x14ac:dyDescent="0.25">
      <c r="B1715"/>
    </row>
    <row r="1716" spans="2:2" x14ac:dyDescent="0.25">
      <c r="B1716"/>
    </row>
    <row r="1717" spans="2:2" x14ac:dyDescent="0.25">
      <c r="B1717"/>
    </row>
    <row r="1718" spans="2:2" x14ac:dyDescent="0.25">
      <c r="B1718"/>
    </row>
    <row r="1719" spans="2:2" x14ac:dyDescent="0.25">
      <c r="B1719"/>
    </row>
    <row r="1720" spans="2:2" x14ac:dyDescent="0.25">
      <c r="B1720"/>
    </row>
    <row r="1721" spans="2:2" x14ac:dyDescent="0.25">
      <c r="B1721"/>
    </row>
    <row r="1722" spans="2:2" x14ac:dyDescent="0.25">
      <c r="B1722"/>
    </row>
    <row r="1723" spans="2:2" x14ac:dyDescent="0.25">
      <c r="B1723"/>
    </row>
    <row r="1724" spans="2:2" x14ac:dyDescent="0.25">
      <c r="B1724"/>
    </row>
    <row r="1725" spans="2:2" x14ac:dyDescent="0.25">
      <c r="B1725"/>
    </row>
    <row r="1726" spans="2:2" x14ac:dyDescent="0.25">
      <c r="B1726"/>
    </row>
    <row r="1727" spans="2:2" x14ac:dyDescent="0.25">
      <c r="B1727"/>
    </row>
    <row r="1728" spans="2:2" x14ac:dyDescent="0.25">
      <c r="B1728"/>
    </row>
    <row r="1729" spans="2:2" x14ac:dyDescent="0.25">
      <c r="B1729"/>
    </row>
    <row r="1730" spans="2:2" x14ac:dyDescent="0.25">
      <c r="B1730"/>
    </row>
    <row r="1731" spans="2:2" x14ac:dyDescent="0.25">
      <c r="B1731"/>
    </row>
    <row r="1732" spans="2:2" x14ac:dyDescent="0.25">
      <c r="B1732"/>
    </row>
    <row r="1733" spans="2:2" x14ac:dyDescent="0.25">
      <c r="B1733"/>
    </row>
    <row r="1734" spans="2:2" x14ac:dyDescent="0.25">
      <c r="B1734"/>
    </row>
    <row r="1735" spans="2:2" x14ac:dyDescent="0.25">
      <c r="B1735"/>
    </row>
    <row r="1736" spans="2:2" x14ac:dyDescent="0.25">
      <c r="B1736"/>
    </row>
    <row r="1737" spans="2:2" x14ac:dyDescent="0.25">
      <c r="B1737"/>
    </row>
    <row r="1738" spans="2:2" x14ac:dyDescent="0.25">
      <c r="B1738"/>
    </row>
    <row r="1739" spans="2:2" x14ac:dyDescent="0.25">
      <c r="B1739"/>
    </row>
    <row r="1740" spans="2:2" x14ac:dyDescent="0.25">
      <c r="B1740"/>
    </row>
    <row r="1741" spans="2:2" x14ac:dyDescent="0.25">
      <c r="B1741"/>
    </row>
    <row r="1742" spans="2:2" x14ac:dyDescent="0.25">
      <c r="B1742"/>
    </row>
    <row r="1743" spans="2:2" x14ac:dyDescent="0.25">
      <c r="B1743"/>
    </row>
    <row r="1744" spans="2:2" x14ac:dyDescent="0.25">
      <c r="B1744"/>
    </row>
    <row r="1745" spans="2:2" x14ac:dyDescent="0.25">
      <c r="B1745"/>
    </row>
    <row r="1746" spans="2:2" x14ac:dyDescent="0.25">
      <c r="B1746"/>
    </row>
    <row r="1747" spans="2:2" x14ac:dyDescent="0.25">
      <c r="B1747"/>
    </row>
    <row r="1748" spans="2:2" x14ac:dyDescent="0.25">
      <c r="B1748"/>
    </row>
    <row r="1749" spans="2:2" x14ac:dyDescent="0.25">
      <c r="B1749"/>
    </row>
    <row r="1750" spans="2:2" x14ac:dyDescent="0.25">
      <c r="B1750"/>
    </row>
    <row r="1751" spans="2:2" x14ac:dyDescent="0.25">
      <c r="B1751"/>
    </row>
    <row r="1752" spans="2:2" x14ac:dyDescent="0.25">
      <c r="B1752"/>
    </row>
    <row r="1753" spans="2:2" x14ac:dyDescent="0.25">
      <c r="B1753"/>
    </row>
    <row r="1754" spans="2:2" x14ac:dyDescent="0.25">
      <c r="B1754"/>
    </row>
    <row r="1755" spans="2:2" x14ac:dyDescent="0.25">
      <c r="B1755"/>
    </row>
    <row r="1756" spans="2:2" x14ac:dyDescent="0.25">
      <c r="B1756"/>
    </row>
    <row r="1757" spans="2:2" x14ac:dyDescent="0.25">
      <c r="B1757"/>
    </row>
    <row r="1758" spans="2:2" x14ac:dyDescent="0.25">
      <c r="B1758"/>
    </row>
    <row r="1759" spans="2:2" x14ac:dyDescent="0.25">
      <c r="B1759"/>
    </row>
    <row r="1760" spans="2:2" x14ac:dyDescent="0.25">
      <c r="B1760"/>
    </row>
    <row r="1761" spans="2:2" x14ac:dyDescent="0.25">
      <c r="B1761"/>
    </row>
    <row r="1762" spans="2:2" x14ac:dyDescent="0.25">
      <c r="B1762"/>
    </row>
    <row r="1763" spans="2:2" x14ac:dyDescent="0.25">
      <c r="B1763"/>
    </row>
    <row r="1764" spans="2:2" x14ac:dyDescent="0.25">
      <c r="B1764"/>
    </row>
    <row r="1765" spans="2:2" x14ac:dyDescent="0.25">
      <c r="B1765"/>
    </row>
    <row r="1766" spans="2:2" x14ac:dyDescent="0.25">
      <c r="B1766"/>
    </row>
    <row r="1767" spans="2:2" x14ac:dyDescent="0.25">
      <c r="B1767"/>
    </row>
    <row r="1768" spans="2:2" x14ac:dyDescent="0.25">
      <c r="B1768"/>
    </row>
    <row r="1769" spans="2:2" x14ac:dyDescent="0.25">
      <c r="B1769"/>
    </row>
    <row r="1770" spans="2:2" x14ac:dyDescent="0.25">
      <c r="B1770"/>
    </row>
    <row r="1771" spans="2:2" x14ac:dyDescent="0.25">
      <c r="B1771"/>
    </row>
    <row r="1772" spans="2:2" x14ac:dyDescent="0.25">
      <c r="B1772"/>
    </row>
    <row r="1773" spans="2:2" x14ac:dyDescent="0.25">
      <c r="B1773"/>
    </row>
    <row r="1774" spans="2:2" x14ac:dyDescent="0.25">
      <c r="B1774"/>
    </row>
    <row r="1775" spans="2:2" x14ac:dyDescent="0.25">
      <c r="B1775"/>
    </row>
    <row r="1776" spans="2:2" x14ac:dyDescent="0.25">
      <c r="B1776"/>
    </row>
    <row r="1777" spans="2:2" x14ac:dyDescent="0.25">
      <c r="B1777"/>
    </row>
    <row r="1778" spans="2:2" x14ac:dyDescent="0.25">
      <c r="B1778"/>
    </row>
    <row r="1779" spans="2:2" x14ac:dyDescent="0.25">
      <c r="B1779"/>
    </row>
    <row r="1780" spans="2:2" x14ac:dyDescent="0.25">
      <c r="B1780"/>
    </row>
    <row r="1781" spans="2:2" x14ac:dyDescent="0.25">
      <c r="B1781"/>
    </row>
    <row r="1782" spans="2:2" x14ac:dyDescent="0.25">
      <c r="B1782"/>
    </row>
    <row r="1783" spans="2:2" x14ac:dyDescent="0.25">
      <c r="B1783"/>
    </row>
    <row r="1784" spans="2:2" x14ac:dyDescent="0.25">
      <c r="B1784"/>
    </row>
    <row r="1785" spans="2:2" x14ac:dyDescent="0.25">
      <c r="B1785"/>
    </row>
    <row r="1786" spans="2:2" x14ac:dyDescent="0.25">
      <c r="B1786"/>
    </row>
    <row r="1787" spans="2:2" x14ac:dyDescent="0.25">
      <c r="B1787"/>
    </row>
    <row r="1788" spans="2:2" x14ac:dyDescent="0.25">
      <c r="B1788"/>
    </row>
    <row r="1789" spans="2:2" x14ac:dyDescent="0.25">
      <c r="B1789"/>
    </row>
    <row r="1790" spans="2:2" x14ac:dyDescent="0.25">
      <c r="B1790"/>
    </row>
    <row r="1791" spans="2:2" x14ac:dyDescent="0.25">
      <c r="B1791"/>
    </row>
    <row r="1792" spans="2:2" x14ac:dyDescent="0.25">
      <c r="B1792"/>
    </row>
    <row r="1793" spans="2:2" x14ac:dyDescent="0.25">
      <c r="B1793"/>
    </row>
    <row r="1794" spans="2:2" x14ac:dyDescent="0.25">
      <c r="B1794"/>
    </row>
    <row r="1795" spans="2:2" x14ac:dyDescent="0.25">
      <c r="B1795"/>
    </row>
    <row r="1796" spans="2:2" x14ac:dyDescent="0.25">
      <c r="B1796"/>
    </row>
    <row r="1797" spans="2:2" x14ac:dyDescent="0.25">
      <c r="B1797"/>
    </row>
    <row r="1798" spans="2:2" x14ac:dyDescent="0.25">
      <c r="B1798"/>
    </row>
    <row r="1799" spans="2:2" x14ac:dyDescent="0.25">
      <c r="B1799"/>
    </row>
    <row r="1800" spans="2:2" x14ac:dyDescent="0.25">
      <c r="B1800"/>
    </row>
    <row r="1801" spans="2:2" x14ac:dyDescent="0.25">
      <c r="B1801"/>
    </row>
    <row r="1802" spans="2:2" x14ac:dyDescent="0.25">
      <c r="B1802"/>
    </row>
    <row r="1803" spans="2:2" x14ac:dyDescent="0.25">
      <c r="B1803"/>
    </row>
    <row r="1804" spans="2:2" x14ac:dyDescent="0.25">
      <c r="B1804"/>
    </row>
    <row r="1805" spans="2:2" x14ac:dyDescent="0.25">
      <c r="B1805"/>
    </row>
    <row r="1806" spans="2:2" x14ac:dyDescent="0.25">
      <c r="B1806"/>
    </row>
    <row r="1807" spans="2:2" x14ac:dyDescent="0.25">
      <c r="B1807"/>
    </row>
    <row r="1808" spans="2:2" x14ac:dyDescent="0.25">
      <c r="B1808"/>
    </row>
    <row r="1809" spans="2:2" x14ac:dyDescent="0.25">
      <c r="B1809"/>
    </row>
    <row r="1810" spans="2:2" x14ac:dyDescent="0.25">
      <c r="B1810"/>
    </row>
    <row r="1811" spans="2:2" x14ac:dyDescent="0.25">
      <c r="B1811"/>
    </row>
    <row r="1812" spans="2:2" x14ac:dyDescent="0.25">
      <c r="B1812"/>
    </row>
    <row r="1813" spans="2:2" x14ac:dyDescent="0.25">
      <c r="B1813"/>
    </row>
    <row r="1814" spans="2:2" x14ac:dyDescent="0.25">
      <c r="B1814"/>
    </row>
    <row r="1815" spans="2:2" x14ac:dyDescent="0.25">
      <c r="B1815"/>
    </row>
    <row r="1816" spans="2:2" x14ac:dyDescent="0.25">
      <c r="B1816"/>
    </row>
    <row r="1817" spans="2:2" x14ac:dyDescent="0.25">
      <c r="B1817"/>
    </row>
    <row r="1818" spans="2:2" x14ac:dyDescent="0.25">
      <c r="B1818"/>
    </row>
    <row r="1819" spans="2:2" x14ac:dyDescent="0.25">
      <c r="B1819"/>
    </row>
    <row r="1820" spans="2:2" x14ac:dyDescent="0.25">
      <c r="B1820"/>
    </row>
    <row r="1821" spans="2:2" x14ac:dyDescent="0.25">
      <c r="B1821"/>
    </row>
    <row r="1822" spans="2:2" x14ac:dyDescent="0.25">
      <c r="B1822"/>
    </row>
    <row r="1823" spans="2:2" x14ac:dyDescent="0.25">
      <c r="B1823"/>
    </row>
    <row r="1824" spans="2:2" x14ac:dyDescent="0.25">
      <c r="B1824"/>
    </row>
    <row r="1825" spans="2:2" x14ac:dyDescent="0.25">
      <c r="B1825"/>
    </row>
    <row r="1826" spans="2:2" x14ac:dyDescent="0.25">
      <c r="B1826"/>
    </row>
    <row r="1827" spans="2:2" x14ac:dyDescent="0.25">
      <c r="B1827"/>
    </row>
    <row r="1828" spans="2:2" x14ac:dyDescent="0.25">
      <c r="B1828"/>
    </row>
    <row r="1829" spans="2:2" x14ac:dyDescent="0.25">
      <c r="B1829"/>
    </row>
    <row r="1830" spans="2:2" x14ac:dyDescent="0.25">
      <c r="B1830"/>
    </row>
    <row r="1831" spans="2:2" x14ac:dyDescent="0.25">
      <c r="B1831"/>
    </row>
    <row r="1832" spans="2:2" x14ac:dyDescent="0.25">
      <c r="B1832"/>
    </row>
    <row r="1833" spans="2:2" x14ac:dyDescent="0.25">
      <c r="B1833"/>
    </row>
    <row r="1834" spans="2:2" x14ac:dyDescent="0.25">
      <c r="B1834"/>
    </row>
    <row r="1835" spans="2:2" x14ac:dyDescent="0.25">
      <c r="B1835"/>
    </row>
    <row r="1836" spans="2:2" x14ac:dyDescent="0.25">
      <c r="B1836"/>
    </row>
    <row r="1837" spans="2:2" x14ac:dyDescent="0.25">
      <c r="B1837"/>
    </row>
    <row r="1838" spans="2:2" x14ac:dyDescent="0.25">
      <c r="B1838"/>
    </row>
    <row r="1839" spans="2:2" x14ac:dyDescent="0.25">
      <c r="B1839"/>
    </row>
    <row r="1840" spans="2:2" x14ac:dyDescent="0.25">
      <c r="B1840"/>
    </row>
    <row r="1841" spans="2:2" x14ac:dyDescent="0.25">
      <c r="B1841"/>
    </row>
    <row r="1842" spans="2:2" x14ac:dyDescent="0.25">
      <c r="B1842"/>
    </row>
    <row r="1843" spans="2:2" x14ac:dyDescent="0.25">
      <c r="B1843"/>
    </row>
    <row r="1844" spans="2:2" x14ac:dyDescent="0.25">
      <c r="B1844"/>
    </row>
    <row r="1845" spans="2:2" x14ac:dyDescent="0.25">
      <c r="B1845"/>
    </row>
    <row r="1846" spans="2:2" x14ac:dyDescent="0.25">
      <c r="B1846"/>
    </row>
    <row r="1847" spans="2:2" x14ac:dyDescent="0.25">
      <c r="B1847"/>
    </row>
    <row r="1848" spans="2:2" x14ac:dyDescent="0.25">
      <c r="B1848"/>
    </row>
    <row r="1849" spans="2:2" x14ac:dyDescent="0.25">
      <c r="B1849"/>
    </row>
    <row r="1850" spans="2:2" x14ac:dyDescent="0.25">
      <c r="B1850"/>
    </row>
    <row r="1851" spans="2:2" x14ac:dyDescent="0.25">
      <c r="B1851"/>
    </row>
    <row r="1852" spans="2:2" x14ac:dyDescent="0.25">
      <c r="B1852"/>
    </row>
    <row r="1853" spans="2:2" x14ac:dyDescent="0.25">
      <c r="B1853"/>
    </row>
    <row r="1854" spans="2:2" x14ac:dyDescent="0.25">
      <c r="B1854"/>
    </row>
    <row r="1855" spans="2:2" x14ac:dyDescent="0.25">
      <c r="B1855"/>
    </row>
    <row r="1856" spans="2:2" x14ac:dyDescent="0.25">
      <c r="B1856"/>
    </row>
    <row r="1857" spans="2:2" x14ac:dyDescent="0.25">
      <c r="B1857"/>
    </row>
    <row r="1858" spans="2:2" x14ac:dyDescent="0.25">
      <c r="B1858"/>
    </row>
    <row r="1859" spans="2:2" x14ac:dyDescent="0.25">
      <c r="B1859"/>
    </row>
    <row r="1860" spans="2:2" x14ac:dyDescent="0.25">
      <c r="B1860"/>
    </row>
    <row r="1861" spans="2:2" x14ac:dyDescent="0.25">
      <c r="B1861"/>
    </row>
    <row r="1862" spans="2:2" x14ac:dyDescent="0.25">
      <c r="B1862"/>
    </row>
    <row r="1863" spans="2:2" x14ac:dyDescent="0.25">
      <c r="B1863"/>
    </row>
    <row r="1864" spans="2:2" x14ac:dyDescent="0.25">
      <c r="B1864"/>
    </row>
    <row r="1865" spans="2:2" x14ac:dyDescent="0.25">
      <c r="B1865"/>
    </row>
    <row r="1866" spans="2:2" x14ac:dyDescent="0.25">
      <c r="B1866"/>
    </row>
    <row r="1867" spans="2:2" x14ac:dyDescent="0.25">
      <c r="B1867"/>
    </row>
    <row r="1868" spans="2:2" x14ac:dyDescent="0.25">
      <c r="B1868"/>
    </row>
    <row r="1869" spans="2:2" x14ac:dyDescent="0.25">
      <c r="B1869"/>
    </row>
    <row r="1870" spans="2:2" x14ac:dyDescent="0.25">
      <c r="B1870"/>
    </row>
    <row r="1871" spans="2:2" x14ac:dyDescent="0.25">
      <c r="B1871"/>
    </row>
    <row r="1872" spans="2:2" x14ac:dyDescent="0.25">
      <c r="B1872"/>
    </row>
    <row r="1873" spans="2:2" x14ac:dyDescent="0.25">
      <c r="B1873"/>
    </row>
    <row r="1874" spans="2:2" x14ac:dyDescent="0.25">
      <c r="B1874"/>
    </row>
    <row r="1875" spans="2:2" x14ac:dyDescent="0.25">
      <c r="B1875"/>
    </row>
    <row r="1876" spans="2:2" x14ac:dyDescent="0.25">
      <c r="B1876"/>
    </row>
    <row r="1877" spans="2:2" x14ac:dyDescent="0.25">
      <c r="B1877"/>
    </row>
    <row r="1878" spans="2:2" x14ac:dyDescent="0.25">
      <c r="B1878"/>
    </row>
    <row r="1879" spans="2:2" x14ac:dyDescent="0.25">
      <c r="B1879"/>
    </row>
    <row r="1880" spans="2:2" x14ac:dyDescent="0.25">
      <c r="B1880"/>
    </row>
    <row r="1881" spans="2:2" x14ac:dyDescent="0.25">
      <c r="B1881"/>
    </row>
    <row r="1882" spans="2:2" x14ac:dyDescent="0.25">
      <c r="B1882"/>
    </row>
    <row r="1883" spans="2:2" x14ac:dyDescent="0.25">
      <c r="B1883"/>
    </row>
    <row r="1884" spans="2:2" x14ac:dyDescent="0.25">
      <c r="B1884"/>
    </row>
    <row r="1885" spans="2:2" x14ac:dyDescent="0.25">
      <c r="B1885"/>
    </row>
    <row r="1886" spans="2:2" x14ac:dyDescent="0.25">
      <c r="B1886"/>
    </row>
    <row r="1887" spans="2:2" x14ac:dyDescent="0.25">
      <c r="B1887"/>
    </row>
    <row r="1888" spans="2:2" x14ac:dyDescent="0.25">
      <c r="B1888"/>
    </row>
    <row r="1889" spans="2:2" x14ac:dyDescent="0.25">
      <c r="B1889"/>
    </row>
    <row r="1890" spans="2:2" x14ac:dyDescent="0.25">
      <c r="B1890"/>
    </row>
    <row r="1891" spans="2:2" x14ac:dyDescent="0.25">
      <c r="B1891"/>
    </row>
    <row r="1892" spans="2:2" x14ac:dyDescent="0.25">
      <c r="B1892"/>
    </row>
    <row r="1893" spans="2:2" x14ac:dyDescent="0.25">
      <c r="B1893"/>
    </row>
    <row r="1894" spans="2:2" x14ac:dyDescent="0.25">
      <c r="B1894"/>
    </row>
    <row r="1895" spans="2:2" x14ac:dyDescent="0.25">
      <c r="B1895"/>
    </row>
    <row r="1896" spans="2:2" x14ac:dyDescent="0.25">
      <c r="B1896"/>
    </row>
    <row r="1897" spans="2:2" x14ac:dyDescent="0.25">
      <c r="B1897"/>
    </row>
    <row r="1898" spans="2:2" x14ac:dyDescent="0.25">
      <c r="B1898"/>
    </row>
    <row r="1899" spans="2:2" x14ac:dyDescent="0.25">
      <c r="B1899"/>
    </row>
    <row r="1900" spans="2:2" x14ac:dyDescent="0.25">
      <c r="B1900"/>
    </row>
    <row r="1901" spans="2:2" x14ac:dyDescent="0.25">
      <c r="B1901"/>
    </row>
    <row r="1902" spans="2:2" x14ac:dyDescent="0.25">
      <c r="B1902"/>
    </row>
    <row r="1903" spans="2:2" x14ac:dyDescent="0.25">
      <c r="B1903"/>
    </row>
    <row r="1904" spans="2:2" x14ac:dyDescent="0.25">
      <c r="B1904"/>
    </row>
    <row r="1905" spans="2:2" x14ac:dyDescent="0.25">
      <c r="B1905"/>
    </row>
    <row r="1906" spans="2:2" x14ac:dyDescent="0.25">
      <c r="B1906"/>
    </row>
    <row r="1907" spans="2:2" x14ac:dyDescent="0.25">
      <c r="B1907"/>
    </row>
    <row r="1908" spans="2:2" x14ac:dyDescent="0.25">
      <c r="B1908"/>
    </row>
    <row r="1909" spans="2:2" x14ac:dyDescent="0.25">
      <c r="B1909"/>
    </row>
    <row r="1910" spans="2:2" x14ac:dyDescent="0.25">
      <c r="B1910"/>
    </row>
    <row r="1911" spans="2:2" x14ac:dyDescent="0.25">
      <c r="B1911"/>
    </row>
    <row r="1912" spans="2:2" x14ac:dyDescent="0.25">
      <c r="B1912"/>
    </row>
    <row r="1913" spans="2:2" x14ac:dyDescent="0.25">
      <c r="B1913"/>
    </row>
    <row r="1914" spans="2:2" x14ac:dyDescent="0.25">
      <c r="B1914"/>
    </row>
    <row r="1915" spans="2:2" x14ac:dyDescent="0.25">
      <c r="B1915"/>
    </row>
    <row r="1916" spans="2:2" x14ac:dyDescent="0.25">
      <c r="B1916"/>
    </row>
    <row r="1917" spans="2:2" x14ac:dyDescent="0.25">
      <c r="B1917"/>
    </row>
    <row r="1918" spans="2:2" x14ac:dyDescent="0.25">
      <c r="B1918"/>
    </row>
    <row r="1919" spans="2:2" x14ac:dyDescent="0.25">
      <c r="B1919"/>
    </row>
    <row r="1920" spans="2:2" x14ac:dyDescent="0.25">
      <c r="B1920"/>
    </row>
    <row r="1921" spans="2:2" x14ac:dyDescent="0.25">
      <c r="B1921"/>
    </row>
    <row r="1922" spans="2:2" x14ac:dyDescent="0.25">
      <c r="B1922"/>
    </row>
    <row r="1923" spans="2:2" x14ac:dyDescent="0.25">
      <c r="B1923"/>
    </row>
    <row r="1924" spans="2:2" x14ac:dyDescent="0.25">
      <c r="B1924"/>
    </row>
    <row r="1925" spans="2:2" x14ac:dyDescent="0.25">
      <c r="B1925"/>
    </row>
    <row r="1926" spans="2:2" x14ac:dyDescent="0.25">
      <c r="B1926"/>
    </row>
    <row r="1927" spans="2:2" x14ac:dyDescent="0.25">
      <c r="B1927"/>
    </row>
    <row r="1928" spans="2:2" x14ac:dyDescent="0.25">
      <c r="B1928"/>
    </row>
    <row r="1929" spans="2:2" x14ac:dyDescent="0.25">
      <c r="B1929"/>
    </row>
    <row r="1930" spans="2:2" x14ac:dyDescent="0.25">
      <c r="B1930"/>
    </row>
    <row r="1931" spans="2:2" x14ac:dyDescent="0.25">
      <c r="B1931"/>
    </row>
    <row r="1932" spans="2:2" x14ac:dyDescent="0.25">
      <c r="B1932"/>
    </row>
    <row r="1933" spans="2:2" x14ac:dyDescent="0.25">
      <c r="B1933"/>
    </row>
    <row r="1934" spans="2:2" x14ac:dyDescent="0.25">
      <c r="B1934"/>
    </row>
    <row r="1935" spans="2:2" x14ac:dyDescent="0.25">
      <c r="B1935"/>
    </row>
    <row r="1936" spans="2:2" x14ac:dyDescent="0.25">
      <c r="B1936"/>
    </row>
    <row r="1937" spans="2:2" x14ac:dyDescent="0.25">
      <c r="B1937"/>
    </row>
    <row r="1938" spans="2:2" x14ac:dyDescent="0.25">
      <c r="B1938"/>
    </row>
    <row r="1939" spans="2:2" x14ac:dyDescent="0.25">
      <c r="B1939"/>
    </row>
    <row r="1940" spans="2:2" x14ac:dyDescent="0.25">
      <c r="B1940"/>
    </row>
    <row r="1941" spans="2:2" x14ac:dyDescent="0.25">
      <c r="B1941"/>
    </row>
    <row r="1942" spans="2:2" x14ac:dyDescent="0.25">
      <c r="B1942"/>
    </row>
    <row r="1943" spans="2:2" x14ac:dyDescent="0.25">
      <c r="B1943"/>
    </row>
    <row r="1944" spans="2:2" x14ac:dyDescent="0.25">
      <c r="B1944"/>
    </row>
    <row r="1945" spans="2:2" x14ac:dyDescent="0.25">
      <c r="B1945"/>
    </row>
    <row r="1946" spans="2:2" x14ac:dyDescent="0.25">
      <c r="B1946"/>
    </row>
    <row r="1947" spans="2:2" x14ac:dyDescent="0.25">
      <c r="B1947"/>
    </row>
    <row r="1948" spans="2:2" x14ac:dyDescent="0.25">
      <c r="B1948"/>
    </row>
    <row r="1949" spans="2:2" x14ac:dyDescent="0.25">
      <c r="B1949"/>
    </row>
    <row r="1950" spans="2:2" x14ac:dyDescent="0.25">
      <c r="B1950"/>
    </row>
    <row r="1951" spans="2:2" x14ac:dyDescent="0.25">
      <c r="B1951"/>
    </row>
    <row r="1952" spans="2:2" x14ac:dyDescent="0.25">
      <c r="B1952"/>
    </row>
    <row r="1953" spans="2:2" x14ac:dyDescent="0.25">
      <c r="B1953"/>
    </row>
    <row r="1954" spans="2:2" x14ac:dyDescent="0.25">
      <c r="B1954"/>
    </row>
    <row r="1955" spans="2:2" x14ac:dyDescent="0.25">
      <c r="B1955"/>
    </row>
    <row r="1956" spans="2:2" x14ac:dyDescent="0.25">
      <c r="B1956"/>
    </row>
    <row r="1957" spans="2:2" x14ac:dyDescent="0.25">
      <c r="B1957"/>
    </row>
    <row r="1958" spans="2:2" x14ac:dyDescent="0.25">
      <c r="B1958"/>
    </row>
    <row r="1959" spans="2:2" x14ac:dyDescent="0.25">
      <c r="B1959"/>
    </row>
    <row r="1960" spans="2:2" x14ac:dyDescent="0.25">
      <c r="B1960"/>
    </row>
    <row r="1961" spans="2:2" x14ac:dyDescent="0.25">
      <c r="B1961"/>
    </row>
    <row r="1962" spans="2:2" x14ac:dyDescent="0.25">
      <c r="B1962"/>
    </row>
    <row r="1963" spans="2:2" x14ac:dyDescent="0.25">
      <c r="B1963"/>
    </row>
    <row r="1964" spans="2:2" x14ac:dyDescent="0.25">
      <c r="B1964"/>
    </row>
    <row r="1965" spans="2:2" x14ac:dyDescent="0.25">
      <c r="B1965"/>
    </row>
    <row r="1966" spans="2:2" x14ac:dyDescent="0.25">
      <c r="B1966"/>
    </row>
    <row r="1967" spans="2:2" x14ac:dyDescent="0.25">
      <c r="B1967"/>
    </row>
    <row r="1968" spans="2:2" x14ac:dyDescent="0.25">
      <c r="B1968"/>
    </row>
    <row r="1969" spans="2:2" x14ac:dyDescent="0.25">
      <c r="B1969"/>
    </row>
    <row r="1970" spans="2:2" x14ac:dyDescent="0.25">
      <c r="B1970"/>
    </row>
    <row r="1971" spans="2:2" x14ac:dyDescent="0.25">
      <c r="B1971"/>
    </row>
    <row r="1972" spans="2:2" x14ac:dyDescent="0.25">
      <c r="B1972"/>
    </row>
    <row r="1973" spans="2:2" x14ac:dyDescent="0.25">
      <c r="B1973"/>
    </row>
    <row r="1974" spans="2:2" x14ac:dyDescent="0.25">
      <c r="B1974"/>
    </row>
    <row r="1975" spans="2:2" x14ac:dyDescent="0.25">
      <c r="B1975"/>
    </row>
    <row r="1976" spans="2:2" x14ac:dyDescent="0.25">
      <c r="B1976"/>
    </row>
    <row r="1977" spans="2:2" x14ac:dyDescent="0.25">
      <c r="B1977"/>
    </row>
    <row r="1978" spans="2:2" x14ac:dyDescent="0.25">
      <c r="B1978"/>
    </row>
    <row r="1979" spans="2:2" x14ac:dyDescent="0.25">
      <c r="B1979"/>
    </row>
    <row r="1980" spans="2:2" x14ac:dyDescent="0.25">
      <c r="B1980"/>
    </row>
    <row r="1981" spans="2:2" x14ac:dyDescent="0.25">
      <c r="B1981"/>
    </row>
    <row r="1982" spans="2:2" x14ac:dyDescent="0.25">
      <c r="B1982"/>
    </row>
    <row r="1983" spans="2:2" x14ac:dyDescent="0.25">
      <c r="B1983"/>
    </row>
    <row r="1984" spans="2:2" x14ac:dyDescent="0.25">
      <c r="B1984"/>
    </row>
    <row r="1985" spans="2:2" x14ac:dyDescent="0.25">
      <c r="B1985"/>
    </row>
    <row r="1986" spans="2:2" x14ac:dyDescent="0.25">
      <c r="B1986"/>
    </row>
    <row r="1987" spans="2:2" x14ac:dyDescent="0.25">
      <c r="B1987"/>
    </row>
    <row r="1988" spans="2:2" x14ac:dyDescent="0.25">
      <c r="B1988"/>
    </row>
    <row r="1989" spans="2:2" x14ac:dyDescent="0.25">
      <c r="B1989"/>
    </row>
    <row r="1990" spans="2:2" x14ac:dyDescent="0.25">
      <c r="B1990"/>
    </row>
    <row r="1991" spans="2:2" x14ac:dyDescent="0.25">
      <c r="B1991"/>
    </row>
    <row r="1992" spans="2:2" x14ac:dyDescent="0.25">
      <c r="B1992"/>
    </row>
    <row r="1993" spans="2:2" x14ac:dyDescent="0.25">
      <c r="B1993"/>
    </row>
    <row r="1994" spans="2:2" x14ac:dyDescent="0.25">
      <c r="B1994"/>
    </row>
    <row r="1995" spans="2:2" x14ac:dyDescent="0.25">
      <c r="B1995"/>
    </row>
    <row r="1996" spans="2:2" x14ac:dyDescent="0.25">
      <c r="B1996"/>
    </row>
    <row r="1997" spans="2:2" x14ac:dyDescent="0.25">
      <c r="B1997"/>
    </row>
    <row r="1998" spans="2:2" x14ac:dyDescent="0.25">
      <c r="B1998"/>
    </row>
    <row r="1999" spans="2:2" x14ac:dyDescent="0.25">
      <c r="B1999"/>
    </row>
    <row r="2000" spans="2:2" x14ac:dyDescent="0.25">
      <c r="B2000"/>
    </row>
    <row r="2001" spans="2:2" x14ac:dyDescent="0.25">
      <c r="B2001"/>
    </row>
    <row r="2002" spans="2:2" x14ac:dyDescent="0.25">
      <c r="B2002"/>
    </row>
    <row r="2003" spans="2:2" x14ac:dyDescent="0.25">
      <c r="B2003"/>
    </row>
    <row r="2004" spans="2:2" x14ac:dyDescent="0.25">
      <c r="B2004"/>
    </row>
    <row r="2005" spans="2:2" x14ac:dyDescent="0.25">
      <c r="B2005"/>
    </row>
    <row r="2006" spans="2:2" x14ac:dyDescent="0.25">
      <c r="B2006"/>
    </row>
    <row r="2007" spans="2:2" x14ac:dyDescent="0.25">
      <c r="B2007"/>
    </row>
    <row r="2008" spans="2:2" x14ac:dyDescent="0.25">
      <c r="B2008"/>
    </row>
    <row r="2009" spans="2:2" x14ac:dyDescent="0.25">
      <c r="B2009"/>
    </row>
    <row r="2010" spans="2:2" x14ac:dyDescent="0.25">
      <c r="B2010"/>
    </row>
    <row r="2011" spans="2:2" x14ac:dyDescent="0.25">
      <c r="B2011"/>
    </row>
    <row r="2012" spans="2:2" x14ac:dyDescent="0.25">
      <c r="B2012"/>
    </row>
    <row r="2013" spans="2:2" x14ac:dyDescent="0.25">
      <c r="B2013"/>
    </row>
    <row r="2014" spans="2:2" x14ac:dyDescent="0.25">
      <c r="B2014"/>
    </row>
    <row r="2015" spans="2:2" x14ac:dyDescent="0.25">
      <c r="B2015"/>
    </row>
    <row r="2016" spans="2:2" x14ac:dyDescent="0.25">
      <c r="B2016"/>
    </row>
    <row r="2017" spans="2:2" x14ac:dyDescent="0.25">
      <c r="B2017"/>
    </row>
    <row r="2018" spans="2:2" x14ac:dyDescent="0.25">
      <c r="B2018"/>
    </row>
    <row r="2019" spans="2:2" x14ac:dyDescent="0.25">
      <c r="B2019"/>
    </row>
    <row r="2020" spans="2:2" x14ac:dyDescent="0.25">
      <c r="B2020"/>
    </row>
    <row r="2021" spans="2:2" x14ac:dyDescent="0.25">
      <c r="B2021"/>
    </row>
    <row r="2022" spans="2:2" x14ac:dyDescent="0.25">
      <c r="B2022"/>
    </row>
    <row r="2023" spans="2:2" x14ac:dyDescent="0.25">
      <c r="B2023"/>
    </row>
    <row r="2024" spans="2:2" x14ac:dyDescent="0.25">
      <c r="B2024"/>
    </row>
    <row r="2025" spans="2:2" x14ac:dyDescent="0.25">
      <c r="B2025"/>
    </row>
    <row r="2026" spans="2:2" x14ac:dyDescent="0.25">
      <c r="B2026"/>
    </row>
    <row r="2027" spans="2:2" x14ac:dyDescent="0.25">
      <c r="B2027"/>
    </row>
    <row r="2028" spans="2:2" x14ac:dyDescent="0.25">
      <c r="B2028"/>
    </row>
    <row r="2029" spans="2:2" x14ac:dyDescent="0.25">
      <c r="B2029"/>
    </row>
    <row r="2030" spans="2:2" x14ac:dyDescent="0.25">
      <c r="B2030"/>
    </row>
    <row r="2031" spans="2:2" x14ac:dyDescent="0.25">
      <c r="B2031"/>
    </row>
    <row r="2032" spans="2:2" x14ac:dyDescent="0.25">
      <c r="B2032"/>
    </row>
    <row r="2033" spans="2:2" x14ac:dyDescent="0.25">
      <c r="B2033"/>
    </row>
    <row r="2034" spans="2:2" x14ac:dyDescent="0.25">
      <c r="B2034"/>
    </row>
    <row r="2035" spans="2:2" x14ac:dyDescent="0.25">
      <c r="B2035"/>
    </row>
    <row r="2036" spans="2:2" x14ac:dyDescent="0.25">
      <c r="B2036"/>
    </row>
    <row r="2037" spans="2:2" x14ac:dyDescent="0.25">
      <c r="B2037"/>
    </row>
    <row r="2038" spans="2:2" x14ac:dyDescent="0.25">
      <c r="B2038"/>
    </row>
    <row r="2039" spans="2:2" x14ac:dyDescent="0.25">
      <c r="B2039"/>
    </row>
    <row r="2040" spans="2:2" x14ac:dyDescent="0.25">
      <c r="B2040"/>
    </row>
    <row r="2041" spans="2:2" x14ac:dyDescent="0.25">
      <c r="B2041"/>
    </row>
    <row r="2042" spans="2:2" x14ac:dyDescent="0.25">
      <c r="B2042"/>
    </row>
    <row r="2043" spans="2:2" x14ac:dyDescent="0.25">
      <c r="B2043"/>
    </row>
    <row r="2044" spans="2:2" x14ac:dyDescent="0.25">
      <c r="B2044"/>
    </row>
    <row r="2045" spans="2:2" x14ac:dyDescent="0.25">
      <c r="B2045"/>
    </row>
    <row r="2046" spans="2:2" x14ac:dyDescent="0.25">
      <c r="B2046"/>
    </row>
    <row r="2047" spans="2:2" x14ac:dyDescent="0.25">
      <c r="B2047"/>
    </row>
    <row r="2048" spans="2:2" x14ac:dyDescent="0.25">
      <c r="B2048"/>
    </row>
    <row r="2049" spans="2:2" x14ac:dyDescent="0.25">
      <c r="B2049"/>
    </row>
    <row r="2050" spans="2:2" x14ac:dyDescent="0.25">
      <c r="B2050"/>
    </row>
    <row r="2051" spans="2:2" x14ac:dyDescent="0.25">
      <c r="B2051"/>
    </row>
    <row r="2052" spans="2:2" x14ac:dyDescent="0.25">
      <c r="B2052"/>
    </row>
    <row r="2053" spans="2:2" x14ac:dyDescent="0.25">
      <c r="B2053"/>
    </row>
    <row r="2054" spans="2:2" x14ac:dyDescent="0.25">
      <c r="B2054"/>
    </row>
    <row r="2055" spans="2:2" x14ac:dyDescent="0.25">
      <c r="B2055"/>
    </row>
    <row r="2056" spans="2:2" x14ac:dyDescent="0.25">
      <c r="B2056"/>
    </row>
    <row r="2057" spans="2:2" x14ac:dyDescent="0.25">
      <c r="B2057"/>
    </row>
    <row r="2058" spans="2:2" x14ac:dyDescent="0.25">
      <c r="B2058"/>
    </row>
    <row r="2059" spans="2:2" x14ac:dyDescent="0.25">
      <c r="B2059"/>
    </row>
    <row r="2060" spans="2:2" x14ac:dyDescent="0.25">
      <c r="B2060"/>
    </row>
    <row r="2061" spans="2:2" x14ac:dyDescent="0.25">
      <c r="B2061"/>
    </row>
    <row r="2062" spans="2:2" x14ac:dyDescent="0.25">
      <c r="B2062"/>
    </row>
    <row r="2063" spans="2:2" x14ac:dyDescent="0.25">
      <c r="B2063"/>
    </row>
    <row r="2064" spans="2:2" x14ac:dyDescent="0.25">
      <c r="B2064"/>
    </row>
    <row r="2065" spans="2:2" x14ac:dyDescent="0.25">
      <c r="B2065"/>
    </row>
    <row r="2066" spans="2:2" x14ac:dyDescent="0.25">
      <c r="B2066"/>
    </row>
    <row r="2067" spans="2:2" x14ac:dyDescent="0.25">
      <c r="B2067"/>
    </row>
    <row r="2068" spans="2:2" x14ac:dyDescent="0.25">
      <c r="B2068"/>
    </row>
    <row r="2069" spans="2:2" x14ac:dyDescent="0.25">
      <c r="B2069"/>
    </row>
    <row r="2070" spans="2:2" x14ac:dyDescent="0.25">
      <c r="B2070"/>
    </row>
    <row r="2071" spans="2:2" x14ac:dyDescent="0.25">
      <c r="B2071"/>
    </row>
    <row r="2072" spans="2:2" x14ac:dyDescent="0.25">
      <c r="B2072"/>
    </row>
    <row r="2073" spans="2:2" x14ac:dyDescent="0.25">
      <c r="B2073"/>
    </row>
    <row r="2074" spans="2:2" x14ac:dyDescent="0.25">
      <c r="B2074"/>
    </row>
    <row r="2075" spans="2:2" x14ac:dyDescent="0.25">
      <c r="B2075"/>
    </row>
    <row r="2076" spans="2:2" x14ac:dyDescent="0.25">
      <c r="B2076"/>
    </row>
    <row r="2077" spans="2:2" x14ac:dyDescent="0.25">
      <c r="B2077"/>
    </row>
    <row r="2078" spans="2:2" x14ac:dyDescent="0.25">
      <c r="B2078"/>
    </row>
    <row r="2079" spans="2:2" x14ac:dyDescent="0.25">
      <c r="B2079"/>
    </row>
    <row r="2080" spans="2:2" x14ac:dyDescent="0.25">
      <c r="B2080"/>
    </row>
    <row r="2081" spans="2:2" x14ac:dyDescent="0.25">
      <c r="B2081"/>
    </row>
    <row r="2082" spans="2:2" x14ac:dyDescent="0.25">
      <c r="B2082"/>
    </row>
    <row r="2083" spans="2:2" x14ac:dyDescent="0.25">
      <c r="B2083"/>
    </row>
    <row r="2084" spans="2:2" x14ac:dyDescent="0.25">
      <c r="B2084"/>
    </row>
    <row r="2085" spans="2:2" x14ac:dyDescent="0.25">
      <c r="B2085"/>
    </row>
    <row r="2086" spans="2:2" x14ac:dyDescent="0.25">
      <c r="B2086"/>
    </row>
    <row r="2087" spans="2:2" x14ac:dyDescent="0.25">
      <c r="B2087"/>
    </row>
    <row r="2088" spans="2:2" x14ac:dyDescent="0.25">
      <c r="B2088"/>
    </row>
    <row r="2089" spans="2:2" x14ac:dyDescent="0.25">
      <c r="B2089"/>
    </row>
    <row r="2090" spans="2:2" x14ac:dyDescent="0.25">
      <c r="B2090"/>
    </row>
    <row r="2091" spans="2:2" x14ac:dyDescent="0.25">
      <c r="B2091"/>
    </row>
    <row r="2092" spans="2:2" x14ac:dyDescent="0.25">
      <c r="B2092"/>
    </row>
    <row r="2093" spans="2:2" x14ac:dyDescent="0.25">
      <c r="B2093"/>
    </row>
    <row r="2094" spans="2:2" x14ac:dyDescent="0.25">
      <c r="B2094"/>
    </row>
    <row r="2095" spans="2:2" x14ac:dyDescent="0.25">
      <c r="B2095"/>
    </row>
    <row r="2096" spans="2:2" x14ac:dyDescent="0.25">
      <c r="B2096"/>
    </row>
    <row r="2097" spans="2:2" x14ac:dyDescent="0.25">
      <c r="B2097"/>
    </row>
    <row r="2098" spans="2:2" x14ac:dyDescent="0.25">
      <c r="B2098"/>
    </row>
    <row r="2099" spans="2:2" x14ac:dyDescent="0.25">
      <c r="B2099"/>
    </row>
    <row r="2100" spans="2:2" x14ac:dyDescent="0.25">
      <c r="B2100"/>
    </row>
    <row r="2101" spans="2:2" x14ac:dyDescent="0.25">
      <c r="B2101"/>
    </row>
    <row r="2102" spans="2:2" x14ac:dyDescent="0.25">
      <c r="B2102"/>
    </row>
    <row r="2103" spans="2:2" x14ac:dyDescent="0.25">
      <c r="B2103"/>
    </row>
    <row r="2104" spans="2:2" x14ac:dyDescent="0.25">
      <c r="B2104"/>
    </row>
    <row r="2105" spans="2:2" x14ac:dyDescent="0.25">
      <c r="B2105"/>
    </row>
    <row r="2106" spans="2:2" x14ac:dyDescent="0.25">
      <c r="B2106"/>
    </row>
    <row r="2107" spans="2:2" x14ac:dyDescent="0.25">
      <c r="B2107"/>
    </row>
    <row r="2108" spans="2:2" x14ac:dyDescent="0.25">
      <c r="B2108"/>
    </row>
    <row r="2109" spans="2:2" x14ac:dyDescent="0.25">
      <c r="B2109"/>
    </row>
    <row r="2110" spans="2:2" x14ac:dyDescent="0.25">
      <c r="B2110"/>
    </row>
    <row r="2111" spans="2:2" x14ac:dyDescent="0.25">
      <c r="B2111"/>
    </row>
    <row r="2112" spans="2:2" x14ac:dyDescent="0.25">
      <c r="B2112"/>
    </row>
    <row r="2113" spans="2:2" x14ac:dyDescent="0.25">
      <c r="B2113"/>
    </row>
    <row r="2114" spans="2:2" x14ac:dyDescent="0.25">
      <c r="B2114"/>
    </row>
    <row r="2115" spans="2:2" x14ac:dyDescent="0.25">
      <c r="B2115"/>
    </row>
    <row r="2116" spans="2:2" x14ac:dyDescent="0.25">
      <c r="B2116"/>
    </row>
    <row r="2117" spans="2:2" x14ac:dyDescent="0.25">
      <c r="B2117"/>
    </row>
    <row r="2118" spans="2:2" x14ac:dyDescent="0.25">
      <c r="B2118"/>
    </row>
    <row r="2119" spans="2:2" x14ac:dyDescent="0.25">
      <c r="B2119"/>
    </row>
    <row r="2120" spans="2:2" x14ac:dyDescent="0.25">
      <c r="B2120"/>
    </row>
    <row r="2121" spans="2:2" x14ac:dyDescent="0.25">
      <c r="B2121"/>
    </row>
    <row r="2122" spans="2:2" x14ac:dyDescent="0.25">
      <c r="B2122"/>
    </row>
    <row r="2123" spans="2:2" x14ac:dyDescent="0.25">
      <c r="B2123"/>
    </row>
    <row r="2124" spans="2:2" x14ac:dyDescent="0.25">
      <c r="B2124"/>
    </row>
    <row r="2125" spans="2:2" x14ac:dyDescent="0.25">
      <c r="B2125"/>
    </row>
    <row r="2126" spans="2:2" x14ac:dyDescent="0.25">
      <c r="B2126"/>
    </row>
    <row r="2127" spans="2:2" x14ac:dyDescent="0.25">
      <c r="B2127"/>
    </row>
    <row r="2128" spans="2:2" x14ac:dyDescent="0.25">
      <c r="B2128"/>
    </row>
    <row r="2129" spans="2:2" x14ac:dyDescent="0.25">
      <c r="B2129"/>
    </row>
    <row r="2130" spans="2:2" x14ac:dyDescent="0.25">
      <c r="B2130"/>
    </row>
    <row r="2131" spans="2:2" x14ac:dyDescent="0.25">
      <c r="B2131"/>
    </row>
    <row r="2132" spans="2:2" x14ac:dyDescent="0.25">
      <c r="B2132"/>
    </row>
    <row r="2133" spans="2:2" x14ac:dyDescent="0.25">
      <c r="B2133"/>
    </row>
    <row r="2134" spans="2:2" x14ac:dyDescent="0.25">
      <c r="B2134"/>
    </row>
    <row r="2135" spans="2:2" x14ac:dyDescent="0.25">
      <c r="B2135"/>
    </row>
    <row r="2136" spans="2:2" x14ac:dyDescent="0.25">
      <c r="B2136"/>
    </row>
    <row r="2137" spans="2:2" x14ac:dyDescent="0.25">
      <c r="B2137"/>
    </row>
    <row r="2138" spans="2:2" x14ac:dyDescent="0.25">
      <c r="B2138"/>
    </row>
    <row r="2139" spans="2:2" x14ac:dyDescent="0.25">
      <c r="B2139"/>
    </row>
    <row r="2140" spans="2:2" x14ac:dyDescent="0.25">
      <c r="B2140"/>
    </row>
    <row r="2141" spans="2:2" x14ac:dyDescent="0.25">
      <c r="B2141"/>
    </row>
    <row r="2142" spans="2:2" x14ac:dyDescent="0.25">
      <c r="B2142"/>
    </row>
    <row r="2143" spans="2:2" x14ac:dyDescent="0.25">
      <c r="B2143"/>
    </row>
    <row r="2144" spans="2:2" x14ac:dyDescent="0.25">
      <c r="B2144"/>
    </row>
    <row r="2145" spans="2:2" x14ac:dyDescent="0.25">
      <c r="B2145"/>
    </row>
    <row r="2146" spans="2:2" x14ac:dyDescent="0.25">
      <c r="B2146"/>
    </row>
    <row r="2147" spans="2:2" x14ac:dyDescent="0.25">
      <c r="B2147"/>
    </row>
    <row r="2148" spans="2:2" x14ac:dyDescent="0.25">
      <c r="B2148"/>
    </row>
    <row r="2149" spans="2:2" x14ac:dyDescent="0.25">
      <c r="B2149"/>
    </row>
    <row r="2150" spans="2:2" x14ac:dyDescent="0.25">
      <c r="B2150"/>
    </row>
    <row r="2151" spans="2:2" x14ac:dyDescent="0.25">
      <c r="B2151"/>
    </row>
    <row r="2152" spans="2:2" x14ac:dyDescent="0.25">
      <c r="B2152"/>
    </row>
    <row r="2153" spans="2:2" x14ac:dyDescent="0.25">
      <c r="B2153"/>
    </row>
    <row r="2154" spans="2:2" x14ac:dyDescent="0.25">
      <c r="B2154"/>
    </row>
    <row r="2155" spans="2:2" x14ac:dyDescent="0.25">
      <c r="B2155"/>
    </row>
    <row r="2156" spans="2:2" x14ac:dyDescent="0.25">
      <c r="B2156"/>
    </row>
    <row r="2157" spans="2:2" x14ac:dyDescent="0.25">
      <c r="B2157"/>
    </row>
    <row r="2158" spans="2:2" x14ac:dyDescent="0.25">
      <c r="B2158"/>
    </row>
    <row r="2159" spans="2:2" x14ac:dyDescent="0.25">
      <c r="B2159"/>
    </row>
    <row r="2160" spans="2:2" x14ac:dyDescent="0.25">
      <c r="B2160"/>
    </row>
    <row r="2161" spans="2:2" x14ac:dyDescent="0.25">
      <c r="B2161"/>
    </row>
    <row r="2162" spans="2:2" x14ac:dyDescent="0.25">
      <c r="B2162"/>
    </row>
    <row r="2163" spans="2:2" x14ac:dyDescent="0.25">
      <c r="B2163"/>
    </row>
    <row r="2164" spans="2:2" x14ac:dyDescent="0.25">
      <c r="B2164"/>
    </row>
    <row r="2165" spans="2:2" x14ac:dyDescent="0.25">
      <c r="B2165"/>
    </row>
    <row r="2166" spans="2:2" x14ac:dyDescent="0.25">
      <c r="B2166"/>
    </row>
    <row r="2167" spans="2:2" x14ac:dyDescent="0.25">
      <c r="B2167"/>
    </row>
    <row r="2168" spans="2:2" x14ac:dyDescent="0.25">
      <c r="B2168"/>
    </row>
    <row r="2169" spans="2:2" x14ac:dyDescent="0.25">
      <c r="B2169"/>
    </row>
    <row r="2170" spans="2:2" x14ac:dyDescent="0.25">
      <c r="B2170"/>
    </row>
    <row r="2171" spans="2:2" x14ac:dyDescent="0.25">
      <c r="B2171"/>
    </row>
    <row r="2172" spans="2:2" x14ac:dyDescent="0.25">
      <c r="B2172"/>
    </row>
    <row r="2173" spans="2:2" x14ac:dyDescent="0.25">
      <c r="B2173"/>
    </row>
    <row r="2174" spans="2:2" x14ac:dyDescent="0.25">
      <c r="B2174"/>
    </row>
    <row r="2175" spans="2:2" x14ac:dyDescent="0.25">
      <c r="B2175"/>
    </row>
    <row r="2176" spans="2:2" x14ac:dyDescent="0.25">
      <c r="B2176"/>
    </row>
    <row r="2177" spans="2:2" x14ac:dyDescent="0.25">
      <c r="B2177"/>
    </row>
    <row r="2178" spans="2:2" x14ac:dyDescent="0.25">
      <c r="B2178"/>
    </row>
    <row r="2179" spans="2:2" x14ac:dyDescent="0.25">
      <c r="B2179"/>
    </row>
    <row r="2180" spans="2:2" x14ac:dyDescent="0.25">
      <c r="B2180"/>
    </row>
    <row r="2181" spans="2:2" x14ac:dyDescent="0.25">
      <c r="B2181"/>
    </row>
    <row r="2182" spans="2:2" x14ac:dyDescent="0.25">
      <c r="B2182"/>
    </row>
    <row r="2183" spans="2:2" x14ac:dyDescent="0.25">
      <c r="B2183"/>
    </row>
    <row r="2184" spans="2:2" x14ac:dyDescent="0.25">
      <c r="B2184"/>
    </row>
    <row r="2185" spans="2:2" x14ac:dyDescent="0.25">
      <c r="B2185"/>
    </row>
    <row r="2186" spans="2:2" x14ac:dyDescent="0.25">
      <c r="B2186"/>
    </row>
    <row r="2187" spans="2:2" x14ac:dyDescent="0.25">
      <c r="B2187"/>
    </row>
    <row r="2188" spans="2:2" x14ac:dyDescent="0.25">
      <c r="B2188"/>
    </row>
    <row r="2189" spans="2:2" x14ac:dyDescent="0.25">
      <c r="B2189"/>
    </row>
    <row r="2190" spans="2:2" x14ac:dyDescent="0.25">
      <c r="B2190"/>
    </row>
    <row r="2191" spans="2:2" x14ac:dyDescent="0.25">
      <c r="B2191"/>
    </row>
    <row r="2192" spans="2:2" x14ac:dyDescent="0.25">
      <c r="B2192"/>
    </row>
    <row r="2193" spans="2:2" x14ac:dyDescent="0.25">
      <c r="B2193"/>
    </row>
    <row r="2194" spans="2:2" x14ac:dyDescent="0.25">
      <c r="B2194"/>
    </row>
    <row r="2195" spans="2:2" x14ac:dyDescent="0.25">
      <c r="B2195"/>
    </row>
    <row r="2196" spans="2:2" x14ac:dyDescent="0.25">
      <c r="B2196"/>
    </row>
    <row r="2197" spans="2:2" x14ac:dyDescent="0.25">
      <c r="B2197"/>
    </row>
    <row r="2198" spans="2:2" x14ac:dyDescent="0.25">
      <c r="B2198"/>
    </row>
    <row r="2199" spans="2:2" x14ac:dyDescent="0.25">
      <c r="B2199"/>
    </row>
    <row r="2200" spans="2:2" x14ac:dyDescent="0.25">
      <c r="B2200"/>
    </row>
    <row r="2201" spans="2:2" x14ac:dyDescent="0.25">
      <c r="B2201"/>
    </row>
    <row r="2202" spans="2:2" x14ac:dyDescent="0.25">
      <c r="B2202"/>
    </row>
    <row r="2203" spans="2:2" x14ac:dyDescent="0.25">
      <c r="B2203"/>
    </row>
    <row r="2204" spans="2:2" x14ac:dyDescent="0.25">
      <c r="B2204"/>
    </row>
    <row r="2205" spans="2:2" x14ac:dyDescent="0.25">
      <c r="B2205"/>
    </row>
    <row r="2206" spans="2:2" x14ac:dyDescent="0.25">
      <c r="B2206"/>
    </row>
    <row r="2207" spans="2:2" x14ac:dyDescent="0.25">
      <c r="B2207"/>
    </row>
    <row r="2208" spans="2:2" x14ac:dyDescent="0.25">
      <c r="B2208"/>
    </row>
    <row r="2209" spans="2:2" x14ac:dyDescent="0.25">
      <c r="B2209"/>
    </row>
    <row r="2210" spans="2:2" x14ac:dyDescent="0.25">
      <c r="B2210"/>
    </row>
    <row r="2211" spans="2:2" x14ac:dyDescent="0.25">
      <c r="B2211"/>
    </row>
    <row r="2212" spans="2:2" x14ac:dyDescent="0.25">
      <c r="B2212"/>
    </row>
    <row r="2213" spans="2:2" x14ac:dyDescent="0.25">
      <c r="B2213"/>
    </row>
    <row r="2214" spans="2:2" x14ac:dyDescent="0.25">
      <c r="B2214"/>
    </row>
    <row r="2215" spans="2:2" x14ac:dyDescent="0.25">
      <c r="B2215"/>
    </row>
    <row r="2216" spans="2:2" x14ac:dyDescent="0.25">
      <c r="B2216"/>
    </row>
    <row r="2217" spans="2:2" x14ac:dyDescent="0.25">
      <c r="B2217"/>
    </row>
    <row r="2218" spans="2:2" x14ac:dyDescent="0.25">
      <c r="B2218"/>
    </row>
    <row r="2219" spans="2:2" x14ac:dyDescent="0.25">
      <c r="B2219"/>
    </row>
    <row r="2220" spans="2:2" x14ac:dyDescent="0.25">
      <c r="B2220"/>
    </row>
    <row r="2221" spans="2:2" x14ac:dyDescent="0.25">
      <c r="B2221"/>
    </row>
    <row r="2222" spans="2:2" x14ac:dyDescent="0.25">
      <c r="B2222"/>
    </row>
    <row r="2223" spans="2:2" x14ac:dyDescent="0.25">
      <c r="B2223"/>
    </row>
    <row r="2224" spans="2:2" x14ac:dyDescent="0.25">
      <c r="B2224"/>
    </row>
    <row r="2225" spans="2:2" x14ac:dyDescent="0.25">
      <c r="B2225"/>
    </row>
    <row r="2226" spans="2:2" x14ac:dyDescent="0.25">
      <c r="B2226"/>
    </row>
    <row r="2227" spans="2:2" x14ac:dyDescent="0.25">
      <c r="B2227"/>
    </row>
    <row r="2228" spans="2:2" x14ac:dyDescent="0.25">
      <c r="B2228"/>
    </row>
    <row r="2229" spans="2:2" x14ac:dyDescent="0.25">
      <c r="B2229"/>
    </row>
    <row r="2230" spans="2:2" x14ac:dyDescent="0.25">
      <c r="B2230"/>
    </row>
    <row r="2231" spans="2:2" x14ac:dyDescent="0.25">
      <c r="B2231"/>
    </row>
    <row r="2232" spans="2:2" x14ac:dyDescent="0.25">
      <c r="B2232"/>
    </row>
    <row r="2233" spans="2:2" x14ac:dyDescent="0.25">
      <c r="B2233"/>
    </row>
    <row r="2234" spans="2:2" x14ac:dyDescent="0.25">
      <c r="B2234"/>
    </row>
    <row r="2235" spans="2:2" x14ac:dyDescent="0.25">
      <c r="B2235"/>
    </row>
    <row r="2236" spans="2:2" x14ac:dyDescent="0.25">
      <c r="B2236"/>
    </row>
    <row r="2237" spans="2:2" x14ac:dyDescent="0.25">
      <c r="B2237"/>
    </row>
    <row r="2238" spans="2:2" x14ac:dyDescent="0.25">
      <c r="B2238"/>
    </row>
    <row r="2239" spans="2:2" x14ac:dyDescent="0.25">
      <c r="B2239"/>
    </row>
    <row r="2240" spans="2:2" x14ac:dyDescent="0.25">
      <c r="B2240"/>
    </row>
    <row r="2241" spans="2:2" x14ac:dyDescent="0.25">
      <c r="B2241"/>
    </row>
    <row r="2242" spans="2:2" x14ac:dyDescent="0.25">
      <c r="B2242"/>
    </row>
    <row r="2243" spans="2:2" x14ac:dyDescent="0.25">
      <c r="B2243"/>
    </row>
    <row r="2244" spans="2:2" x14ac:dyDescent="0.25">
      <c r="B2244"/>
    </row>
    <row r="2245" spans="2:2" x14ac:dyDescent="0.25">
      <c r="B2245"/>
    </row>
    <row r="2246" spans="2:2" x14ac:dyDescent="0.25">
      <c r="B2246"/>
    </row>
    <row r="2247" spans="2:2" x14ac:dyDescent="0.25">
      <c r="B2247"/>
    </row>
    <row r="2248" spans="2:2" x14ac:dyDescent="0.25">
      <c r="B2248"/>
    </row>
    <row r="2249" spans="2:2" x14ac:dyDescent="0.25">
      <c r="B2249"/>
    </row>
    <row r="2250" spans="2:2" x14ac:dyDescent="0.25">
      <c r="B2250"/>
    </row>
    <row r="2251" spans="2:2" x14ac:dyDescent="0.25">
      <c r="B2251"/>
    </row>
    <row r="2252" spans="2:2" x14ac:dyDescent="0.25">
      <c r="B2252"/>
    </row>
    <row r="2253" spans="2:2" x14ac:dyDescent="0.25">
      <c r="B2253"/>
    </row>
    <row r="2254" spans="2:2" x14ac:dyDescent="0.25">
      <c r="B2254"/>
    </row>
    <row r="2255" spans="2:2" x14ac:dyDescent="0.25">
      <c r="B2255"/>
    </row>
    <row r="2256" spans="2:2" x14ac:dyDescent="0.25">
      <c r="B2256"/>
    </row>
    <row r="2257" spans="2:2" x14ac:dyDescent="0.25">
      <c r="B2257"/>
    </row>
    <row r="2258" spans="2:2" x14ac:dyDescent="0.25">
      <c r="B2258"/>
    </row>
    <row r="2259" spans="2:2" x14ac:dyDescent="0.25">
      <c r="B2259"/>
    </row>
    <row r="2260" spans="2:2" x14ac:dyDescent="0.25">
      <c r="B2260"/>
    </row>
    <row r="2261" spans="2:2" x14ac:dyDescent="0.25">
      <c r="B2261"/>
    </row>
    <row r="2262" spans="2:2" x14ac:dyDescent="0.25">
      <c r="B2262"/>
    </row>
    <row r="2263" spans="2:2" x14ac:dyDescent="0.25">
      <c r="B2263"/>
    </row>
    <row r="2264" spans="2:2" x14ac:dyDescent="0.25">
      <c r="B2264"/>
    </row>
    <row r="2265" spans="2:2" x14ac:dyDescent="0.25">
      <c r="B2265"/>
    </row>
    <row r="2266" spans="2:2" x14ac:dyDescent="0.25">
      <c r="B2266"/>
    </row>
    <row r="2267" spans="2:2" x14ac:dyDescent="0.25">
      <c r="B2267"/>
    </row>
    <row r="2268" spans="2:2" x14ac:dyDescent="0.25">
      <c r="B2268"/>
    </row>
    <row r="2269" spans="2:2" x14ac:dyDescent="0.25">
      <c r="B2269"/>
    </row>
    <row r="2270" spans="2:2" x14ac:dyDescent="0.25">
      <c r="B2270"/>
    </row>
    <row r="2271" spans="2:2" x14ac:dyDescent="0.25">
      <c r="B2271"/>
    </row>
    <row r="2272" spans="2:2" x14ac:dyDescent="0.25">
      <c r="B2272"/>
    </row>
    <row r="2273" spans="2:2" x14ac:dyDescent="0.25">
      <c r="B2273"/>
    </row>
    <row r="2274" spans="2:2" x14ac:dyDescent="0.25">
      <c r="B2274"/>
    </row>
    <row r="2275" spans="2:2" x14ac:dyDescent="0.25">
      <c r="B2275"/>
    </row>
    <row r="2276" spans="2:2" x14ac:dyDescent="0.25">
      <c r="B2276"/>
    </row>
    <row r="2277" spans="2:2" x14ac:dyDescent="0.25">
      <c r="B2277"/>
    </row>
    <row r="2278" spans="2:2" x14ac:dyDescent="0.25">
      <c r="B2278"/>
    </row>
    <row r="2279" spans="2:2" x14ac:dyDescent="0.25">
      <c r="B2279"/>
    </row>
    <row r="2280" spans="2:2" x14ac:dyDescent="0.25">
      <c r="B2280"/>
    </row>
    <row r="2281" spans="2:2" x14ac:dyDescent="0.25">
      <c r="B2281"/>
    </row>
    <row r="2282" spans="2:2" x14ac:dyDescent="0.25">
      <c r="B2282"/>
    </row>
    <row r="2283" spans="2:2" x14ac:dyDescent="0.25">
      <c r="B2283"/>
    </row>
    <row r="2284" spans="2:2" x14ac:dyDescent="0.25">
      <c r="B2284"/>
    </row>
    <row r="2285" spans="2:2" x14ac:dyDescent="0.25">
      <c r="B2285"/>
    </row>
    <row r="2286" spans="2:2" x14ac:dyDescent="0.25">
      <c r="B2286"/>
    </row>
    <row r="2287" spans="2:2" x14ac:dyDescent="0.25">
      <c r="B2287"/>
    </row>
    <row r="2288" spans="2:2" x14ac:dyDescent="0.25">
      <c r="B2288"/>
    </row>
    <row r="2289" spans="2:2" x14ac:dyDescent="0.25">
      <c r="B2289"/>
    </row>
    <row r="2290" spans="2:2" x14ac:dyDescent="0.25">
      <c r="B2290"/>
    </row>
    <row r="2291" spans="2:2" x14ac:dyDescent="0.25">
      <c r="B2291"/>
    </row>
    <row r="2292" spans="2:2" x14ac:dyDescent="0.25">
      <c r="B2292"/>
    </row>
    <row r="2293" spans="2:2" x14ac:dyDescent="0.25">
      <c r="B2293"/>
    </row>
    <row r="2294" spans="2:2" x14ac:dyDescent="0.25">
      <c r="B2294"/>
    </row>
    <row r="2295" spans="2:2" x14ac:dyDescent="0.25">
      <c r="B2295"/>
    </row>
    <row r="2296" spans="2:2" x14ac:dyDescent="0.25">
      <c r="B2296"/>
    </row>
    <row r="2297" spans="2:2" x14ac:dyDescent="0.25">
      <c r="B2297"/>
    </row>
    <row r="2298" spans="2:2" x14ac:dyDescent="0.25">
      <c r="B2298"/>
    </row>
    <row r="2299" spans="2:2" x14ac:dyDescent="0.25">
      <c r="B2299"/>
    </row>
    <row r="2300" spans="2:2" x14ac:dyDescent="0.25">
      <c r="B2300"/>
    </row>
    <row r="2301" spans="2:2" x14ac:dyDescent="0.25">
      <c r="B2301"/>
    </row>
    <row r="2302" spans="2:2" x14ac:dyDescent="0.25">
      <c r="B2302"/>
    </row>
    <row r="2303" spans="2:2" x14ac:dyDescent="0.25">
      <c r="B2303"/>
    </row>
    <row r="2304" spans="2:2" x14ac:dyDescent="0.25">
      <c r="B2304"/>
    </row>
    <row r="2305" spans="2:2" x14ac:dyDescent="0.25">
      <c r="B2305"/>
    </row>
    <row r="2306" spans="2:2" x14ac:dyDescent="0.25">
      <c r="B2306"/>
    </row>
    <row r="2307" spans="2:2" x14ac:dyDescent="0.25">
      <c r="B2307"/>
    </row>
    <row r="2308" spans="2:2" x14ac:dyDescent="0.25">
      <c r="B2308"/>
    </row>
    <row r="2309" spans="2:2" x14ac:dyDescent="0.25">
      <c r="B2309"/>
    </row>
    <row r="2310" spans="2:2" x14ac:dyDescent="0.25">
      <c r="B2310"/>
    </row>
    <row r="2311" spans="2:2" x14ac:dyDescent="0.25">
      <c r="B2311"/>
    </row>
    <row r="2312" spans="2:2" x14ac:dyDescent="0.25">
      <c r="B2312"/>
    </row>
    <row r="2313" spans="2:2" x14ac:dyDescent="0.25">
      <c r="B2313"/>
    </row>
    <row r="2314" spans="2:2" x14ac:dyDescent="0.25">
      <c r="B2314"/>
    </row>
    <row r="2315" spans="2:2" x14ac:dyDescent="0.25">
      <c r="B2315"/>
    </row>
    <row r="2316" spans="2:2" x14ac:dyDescent="0.25">
      <c r="B2316"/>
    </row>
    <row r="2317" spans="2:2" x14ac:dyDescent="0.25">
      <c r="B2317"/>
    </row>
    <row r="2318" spans="2:2" x14ac:dyDescent="0.25">
      <c r="B2318"/>
    </row>
    <row r="2319" spans="2:2" x14ac:dyDescent="0.25">
      <c r="B2319"/>
    </row>
    <row r="2320" spans="2:2" x14ac:dyDescent="0.25">
      <c r="B2320"/>
    </row>
    <row r="2321" spans="2:2" x14ac:dyDescent="0.25">
      <c r="B2321"/>
    </row>
    <row r="2322" spans="2:2" x14ac:dyDescent="0.25">
      <c r="B2322"/>
    </row>
    <row r="2323" spans="2:2" x14ac:dyDescent="0.25">
      <c r="B2323"/>
    </row>
    <row r="2324" spans="2:2" x14ac:dyDescent="0.25">
      <c r="B2324"/>
    </row>
    <row r="2325" spans="2:2" x14ac:dyDescent="0.25">
      <c r="B2325"/>
    </row>
    <row r="2326" spans="2:2" x14ac:dyDescent="0.25">
      <c r="B2326"/>
    </row>
    <row r="2327" spans="2:2" x14ac:dyDescent="0.25">
      <c r="B2327"/>
    </row>
    <row r="2328" spans="2:2" x14ac:dyDescent="0.25">
      <c r="B2328"/>
    </row>
    <row r="2329" spans="2:2" x14ac:dyDescent="0.25">
      <c r="B2329"/>
    </row>
    <row r="2330" spans="2:2" x14ac:dyDescent="0.25">
      <c r="B2330"/>
    </row>
    <row r="2331" spans="2:2" x14ac:dyDescent="0.25">
      <c r="B2331"/>
    </row>
    <row r="2332" spans="2:2" x14ac:dyDescent="0.25">
      <c r="B2332"/>
    </row>
    <row r="2333" spans="2:2" x14ac:dyDescent="0.25">
      <c r="B2333"/>
    </row>
    <row r="2334" spans="2:2" x14ac:dyDescent="0.25">
      <c r="B2334"/>
    </row>
    <row r="2335" spans="2:2" x14ac:dyDescent="0.25">
      <c r="B2335"/>
    </row>
    <row r="2336" spans="2:2" x14ac:dyDescent="0.25">
      <c r="B2336"/>
    </row>
    <row r="2337" spans="2:2" x14ac:dyDescent="0.25">
      <c r="B2337"/>
    </row>
    <row r="2338" spans="2:2" x14ac:dyDescent="0.25">
      <c r="B2338"/>
    </row>
    <row r="2339" spans="2:2" x14ac:dyDescent="0.25">
      <c r="B2339"/>
    </row>
    <row r="2340" spans="2:2" x14ac:dyDescent="0.25">
      <c r="B2340"/>
    </row>
    <row r="2341" spans="2:2" x14ac:dyDescent="0.25">
      <c r="B2341"/>
    </row>
    <row r="2342" spans="2:2" x14ac:dyDescent="0.25">
      <c r="B2342"/>
    </row>
    <row r="2343" spans="2:2" x14ac:dyDescent="0.25">
      <c r="B2343"/>
    </row>
    <row r="2344" spans="2:2" x14ac:dyDescent="0.25">
      <c r="B2344"/>
    </row>
    <row r="2345" spans="2:2" x14ac:dyDescent="0.25">
      <c r="B2345"/>
    </row>
    <row r="2346" spans="2:2" x14ac:dyDescent="0.25">
      <c r="B2346"/>
    </row>
    <row r="2347" spans="2:2" x14ac:dyDescent="0.25">
      <c r="B2347"/>
    </row>
    <row r="2348" spans="2:2" x14ac:dyDescent="0.25">
      <c r="B2348"/>
    </row>
    <row r="2349" spans="2:2" x14ac:dyDescent="0.25">
      <c r="B2349"/>
    </row>
    <row r="2350" spans="2:2" x14ac:dyDescent="0.25">
      <c r="B2350"/>
    </row>
    <row r="2351" spans="2:2" x14ac:dyDescent="0.25">
      <c r="B2351"/>
    </row>
    <row r="2352" spans="2:2" x14ac:dyDescent="0.25">
      <c r="B2352"/>
    </row>
    <row r="2353" spans="2:2" x14ac:dyDescent="0.25">
      <c r="B2353"/>
    </row>
    <row r="2354" spans="2:2" x14ac:dyDescent="0.25">
      <c r="B2354"/>
    </row>
    <row r="2355" spans="2:2" x14ac:dyDescent="0.25">
      <c r="B2355"/>
    </row>
    <row r="2356" spans="2:2" x14ac:dyDescent="0.25">
      <c r="B2356"/>
    </row>
    <row r="2357" spans="2:2" x14ac:dyDescent="0.25">
      <c r="B2357"/>
    </row>
    <row r="2358" spans="2:2" x14ac:dyDescent="0.25">
      <c r="B2358"/>
    </row>
    <row r="2359" spans="2:2" x14ac:dyDescent="0.25">
      <c r="B2359"/>
    </row>
    <row r="2360" spans="2:2" x14ac:dyDescent="0.25">
      <c r="B2360"/>
    </row>
    <row r="2361" spans="2:2" x14ac:dyDescent="0.25">
      <c r="B2361"/>
    </row>
    <row r="2362" spans="2:2" x14ac:dyDescent="0.25">
      <c r="B2362"/>
    </row>
    <row r="2363" spans="2:2" x14ac:dyDescent="0.25">
      <c r="B2363"/>
    </row>
    <row r="2364" spans="2:2" x14ac:dyDescent="0.25">
      <c r="B2364"/>
    </row>
    <row r="2365" spans="2:2" x14ac:dyDescent="0.25">
      <c r="B2365"/>
    </row>
    <row r="2366" spans="2:2" x14ac:dyDescent="0.25">
      <c r="B2366"/>
    </row>
    <row r="2367" spans="2:2" x14ac:dyDescent="0.25">
      <c r="B2367"/>
    </row>
    <row r="2368" spans="2:2" x14ac:dyDescent="0.25">
      <c r="B2368"/>
    </row>
    <row r="2369" spans="2:2" x14ac:dyDescent="0.25">
      <c r="B2369"/>
    </row>
    <row r="2370" spans="2:2" x14ac:dyDescent="0.25">
      <c r="B2370"/>
    </row>
    <row r="2371" spans="2:2" x14ac:dyDescent="0.25">
      <c r="B2371"/>
    </row>
    <row r="2372" spans="2:2" x14ac:dyDescent="0.25">
      <c r="B2372"/>
    </row>
    <row r="2373" spans="2:2" x14ac:dyDescent="0.25">
      <c r="B2373"/>
    </row>
    <row r="2374" spans="2:2" x14ac:dyDescent="0.25">
      <c r="B2374"/>
    </row>
    <row r="2375" spans="2:2" x14ac:dyDescent="0.25">
      <c r="B2375"/>
    </row>
    <row r="2376" spans="2:2" x14ac:dyDescent="0.25">
      <c r="B2376"/>
    </row>
    <row r="2377" spans="2:2" x14ac:dyDescent="0.25">
      <c r="B2377"/>
    </row>
    <row r="2378" spans="2:2" x14ac:dyDescent="0.25">
      <c r="B2378"/>
    </row>
    <row r="2379" spans="2:2" x14ac:dyDescent="0.25">
      <c r="B2379"/>
    </row>
    <row r="2380" spans="2:2" x14ac:dyDescent="0.25">
      <c r="B2380"/>
    </row>
    <row r="2381" spans="2:2" x14ac:dyDescent="0.25">
      <c r="B2381"/>
    </row>
    <row r="2382" spans="2:2" x14ac:dyDescent="0.25">
      <c r="B2382"/>
    </row>
    <row r="2383" spans="2:2" x14ac:dyDescent="0.25">
      <c r="B2383"/>
    </row>
    <row r="2384" spans="2:2" x14ac:dyDescent="0.25">
      <c r="B2384"/>
    </row>
    <row r="2385" spans="2:2" x14ac:dyDescent="0.25">
      <c r="B2385"/>
    </row>
    <row r="2386" spans="2:2" x14ac:dyDescent="0.25">
      <c r="B2386"/>
    </row>
    <row r="2387" spans="2:2" x14ac:dyDescent="0.25">
      <c r="B2387"/>
    </row>
    <row r="2388" spans="2:2" x14ac:dyDescent="0.25">
      <c r="B2388"/>
    </row>
    <row r="2389" spans="2:2" x14ac:dyDescent="0.25">
      <c r="B2389"/>
    </row>
    <row r="2390" spans="2:2" x14ac:dyDescent="0.25">
      <c r="B2390"/>
    </row>
    <row r="2391" spans="2:2" x14ac:dyDescent="0.25">
      <c r="B2391"/>
    </row>
    <row r="2392" spans="2:2" x14ac:dyDescent="0.25">
      <c r="B2392"/>
    </row>
    <row r="2393" spans="2:2" x14ac:dyDescent="0.25">
      <c r="B2393"/>
    </row>
    <row r="2394" spans="2:2" x14ac:dyDescent="0.25">
      <c r="B2394"/>
    </row>
    <row r="2395" spans="2:2" x14ac:dyDescent="0.25">
      <c r="B2395"/>
    </row>
    <row r="2396" spans="2:2" x14ac:dyDescent="0.25">
      <c r="B2396"/>
    </row>
    <row r="2397" spans="2:2" x14ac:dyDescent="0.25">
      <c r="B2397"/>
    </row>
    <row r="2398" spans="2:2" x14ac:dyDescent="0.25">
      <c r="B2398"/>
    </row>
    <row r="2399" spans="2:2" x14ac:dyDescent="0.25">
      <c r="B2399"/>
    </row>
    <row r="2400" spans="2:2" x14ac:dyDescent="0.25">
      <c r="B2400"/>
    </row>
    <row r="2401" spans="2:2" x14ac:dyDescent="0.25">
      <c r="B2401"/>
    </row>
    <row r="2402" spans="2:2" x14ac:dyDescent="0.25">
      <c r="B2402"/>
    </row>
    <row r="2403" spans="2:2" x14ac:dyDescent="0.25">
      <c r="B2403"/>
    </row>
    <row r="2404" spans="2:2" x14ac:dyDescent="0.25">
      <c r="B2404"/>
    </row>
    <row r="2405" spans="2:2" x14ac:dyDescent="0.25">
      <c r="B2405"/>
    </row>
    <row r="2406" spans="2:2" x14ac:dyDescent="0.25">
      <c r="B2406"/>
    </row>
    <row r="2407" spans="2:2" x14ac:dyDescent="0.25">
      <c r="B2407"/>
    </row>
    <row r="2408" spans="2:2" x14ac:dyDescent="0.25">
      <c r="B2408"/>
    </row>
    <row r="2409" spans="2:2" x14ac:dyDescent="0.25">
      <c r="B2409"/>
    </row>
    <row r="2410" spans="2:2" x14ac:dyDescent="0.25">
      <c r="B2410"/>
    </row>
    <row r="2411" spans="2:2" x14ac:dyDescent="0.25">
      <c r="B2411"/>
    </row>
    <row r="2412" spans="2:2" x14ac:dyDescent="0.25">
      <c r="B2412"/>
    </row>
    <row r="2413" spans="2:2" x14ac:dyDescent="0.25">
      <c r="B2413"/>
    </row>
    <row r="2414" spans="2:2" x14ac:dyDescent="0.25">
      <c r="B2414"/>
    </row>
    <row r="2415" spans="2:2" x14ac:dyDescent="0.25">
      <c r="B2415"/>
    </row>
    <row r="2416" spans="2:2" x14ac:dyDescent="0.25">
      <c r="B2416"/>
    </row>
    <row r="2417" spans="2:2" x14ac:dyDescent="0.25">
      <c r="B2417"/>
    </row>
    <row r="2418" spans="2:2" x14ac:dyDescent="0.25">
      <c r="B2418"/>
    </row>
    <row r="2419" spans="2:2" x14ac:dyDescent="0.25">
      <c r="B2419"/>
    </row>
    <row r="2420" spans="2:2" x14ac:dyDescent="0.25">
      <c r="B2420"/>
    </row>
    <row r="2421" spans="2:2" x14ac:dyDescent="0.25">
      <c r="B2421"/>
    </row>
    <row r="2422" spans="2:2" x14ac:dyDescent="0.25">
      <c r="B2422"/>
    </row>
    <row r="2423" spans="2:2" x14ac:dyDescent="0.25">
      <c r="B2423"/>
    </row>
    <row r="2424" spans="2:2" x14ac:dyDescent="0.25">
      <c r="B2424"/>
    </row>
    <row r="2425" spans="2:2" x14ac:dyDescent="0.25">
      <c r="B2425"/>
    </row>
    <row r="2426" spans="2:2" x14ac:dyDescent="0.25">
      <c r="B2426"/>
    </row>
    <row r="2427" spans="2:2" x14ac:dyDescent="0.25">
      <c r="B2427"/>
    </row>
    <row r="2428" spans="2:2" x14ac:dyDescent="0.25">
      <c r="B2428"/>
    </row>
    <row r="2429" spans="2:2" x14ac:dyDescent="0.25">
      <c r="B2429"/>
    </row>
    <row r="2430" spans="2:2" x14ac:dyDescent="0.25">
      <c r="B2430"/>
    </row>
    <row r="2431" spans="2:2" x14ac:dyDescent="0.25">
      <c r="B2431"/>
    </row>
    <row r="2432" spans="2:2" x14ac:dyDescent="0.25">
      <c r="B2432"/>
    </row>
    <row r="2433" spans="2:2" x14ac:dyDescent="0.25">
      <c r="B2433"/>
    </row>
    <row r="2434" spans="2:2" x14ac:dyDescent="0.25">
      <c r="B2434"/>
    </row>
    <row r="2435" spans="2:2" x14ac:dyDescent="0.25">
      <c r="B2435"/>
    </row>
    <row r="2436" spans="2:2" x14ac:dyDescent="0.25">
      <c r="B2436"/>
    </row>
    <row r="2437" spans="2:2" x14ac:dyDescent="0.25">
      <c r="B2437"/>
    </row>
    <row r="2438" spans="2:2" x14ac:dyDescent="0.25">
      <c r="B2438"/>
    </row>
    <row r="2439" spans="2:2" x14ac:dyDescent="0.25">
      <c r="B2439"/>
    </row>
    <row r="2440" spans="2:2" x14ac:dyDescent="0.25">
      <c r="B2440"/>
    </row>
    <row r="2441" spans="2:2" x14ac:dyDescent="0.25">
      <c r="B2441"/>
    </row>
    <row r="2442" spans="2:2" x14ac:dyDescent="0.25">
      <c r="B2442"/>
    </row>
    <row r="2443" spans="2:2" x14ac:dyDescent="0.25">
      <c r="B2443"/>
    </row>
    <row r="2444" spans="2:2" x14ac:dyDescent="0.25">
      <c r="B2444"/>
    </row>
    <row r="2445" spans="2:2" x14ac:dyDescent="0.25">
      <c r="B2445"/>
    </row>
    <row r="2446" spans="2:2" x14ac:dyDescent="0.25">
      <c r="B2446"/>
    </row>
    <row r="2447" spans="2:2" x14ac:dyDescent="0.25">
      <c r="B2447"/>
    </row>
    <row r="2448" spans="2:2" x14ac:dyDescent="0.25">
      <c r="B2448"/>
    </row>
    <row r="2449" spans="2:2" x14ac:dyDescent="0.25">
      <c r="B2449"/>
    </row>
    <row r="2450" spans="2:2" x14ac:dyDescent="0.25">
      <c r="B2450"/>
    </row>
    <row r="2451" spans="2:2" x14ac:dyDescent="0.25">
      <c r="B2451"/>
    </row>
    <row r="2452" spans="2:2" x14ac:dyDescent="0.25">
      <c r="B2452"/>
    </row>
    <row r="2453" spans="2:2" x14ac:dyDescent="0.25">
      <c r="B2453"/>
    </row>
    <row r="2454" spans="2:2" x14ac:dyDescent="0.25">
      <c r="B2454"/>
    </row>
    <row r="2455" spans="2:2" x14ac:dyDescent="0.25">
      <c r="B2455"/>
    </row>
    <row r="2456" spans="2:2" x14ac:dyDescent="0.25">
      <c r="B2456"/>
    </row>
    <row r="2457" spans="2:2" x14ac:dyDescent="0.25">
      <c r="B2457"/>
    </row>
    <row r="2458" spans="2:2" x14ac:dyDescent="0.25">
      <c r="B2458"/>
    </row>
    <row r="2459" spans="2:2" x14ac:dyDescent="0.25">
      <c r="B2459"/>
    </row>
    <row r="2460" spans="2:2" x14ac:dyDescent="0.25">
      <c r="B2460"/>
    </row>
    <row r="2461" spans="2:2" x14ac:dyDescent="0.25">
      <c r="B2461"/>
    </row>
    <row r="2462" spans="2:2" x14ac:dyDescent="0.25">
      <c r="B2462"/>
    </row>
    <row r="2463" spans="2:2" x14ac:dyDescent="0.25">
      <c r="B2463"/>
    </row>
    <row r="2464" spans="2:2" x14ac:dyDescent="0.25">
      <c r="B2464"/>
    </row>
    <row r="2465" spans="2:2" x14ac:dyDescent="0.25">
      <c r="B2465"/>
    </row>
    <row r="2466" spans="2:2" x14ac:dyDescent="0.25">
      <c r="B2466"/>
    </row>
    <row r="2467" spans="2:2" x14ac:dyDescent="0.25">
      <c r="B2467"/>
    </row>
    <row r="2468" spans="2:2" x14ac:dyDescent="0.25">
      <c r="B2468"/>
    </row>
    <row r="2469" spans="2:2" x14ac:dyDescent="0.25">
      <c r="B2469"/>
    </row>
    <row r="2470" spans="2:2" x14ac:dyDescent="0.25">
      <c r="B2470"/>
    </row>
    <row r="2471" spans="2:2" x14ac:dyDescent="0.25">
      <c r="B2471"/>
    </row>
    <row r="2472" spans="2:2" x14ac:dyDescent="0.25">
      <c r="B2472"/>
    </row>
    <row r="2473" spans="2:2" x14ac:dyDescent="0.25">
      <c r="B2473"/>
    </row>
    <row r="2474" spans="2:2" x14ac:dyDescent="0.25">
      <c r="B2474"/>
    </row>
    <row r="2475" spans="2:2" x14ac:dyDescent="0.25">
      <c r="B2475"/>
    </row>
    <row r="2476" spans="2:2" x14ac:dyDescent="0.25">
      <c r="B2476"/>
    </row>
    <row r="2477" spans="2:2" x14ac:dyDescent="0.25">
      <c r="B2477"/>
    </row>
    <row r="2478" spans="2:2" x14ac:dyDescent="0.25">
      <c r="B2478"/>
    </row>
    <row r="2479" spans="2:2" x14ac:dyDescent="0.25">
      <c r="B2479"/>
    </row>
    <row r="2480" spans="2:2" x14ac:dyDescent="0.25">
      <c r="B2480"/>
    </row>
    <row r="2481" spans="2:2" x14ac:dyDescent="0.25">
      <c r="B2481"/>
    </row>
    <row r="2482" spans="2:2" x14ac:dyDescent="0.25">
      <c r="B2482"/>
    </row>
    <row r="2483" spans="2:2" x14ac:dyDescent="0.25">
      <c r="B2483"/>
    </row>
    <row r="2484" spans="2:2" x14ac:dyDescent="0.25">
      <c r="B2484"/>
    </row>
    <row r="2485" spans="2:2" x14ac:dyDescent="0.25">
      <c r="B2485"/>
    </row>
    <row r="2486" spans="2:2" x14ac:dyDescent="0.25">
      <c r="B2486"/>
    </row>
    <row r="2487" spans="2:2" x14ac:dyDescent="0.25">
      <c r="B2487"/>
    </row>
    <row r="2488" spans="2:2" x14ac:dyDescent="0.25">
      <c r="B2488"/>
    </row>
    <row r="2489" spans="2:2" x14ac:dyDescent="0.25">
      <c r="B2489"/>
    </row>
    <row r="2490" spans="2:2" x14ac:dyDescent="0.25">
      <c r="B2490"/>
    </row>
    <row r="2491" spans="2:2" x14ac:dyDescent="0.25">
      <c r="B2491"/>
    </row>
    <row r="2492" spans="2:2" x14ac:dyDescent="0.25">
      <c r="B2492"/>
    </row>
    <row r="2493" spans="2:2" x14ac:dyDescent="0.25">
      <c r="B2493"/>
    </row>
    <row r="2494" spans="2:2" x14ac:dyDescent="0.25">
      <c r="B2494"/>
    </row>
    <row r="2495" spans="2:2" x14ac:dyDescent="0.25">
      <c r="B2495"/>
    </row>
    <row r="2496" spans="2:2" x14ac:dyDescent="0.25">
      <c r="B2496"/>
    </row>
    <row r="2497" spans="2:2" x14ac:dyDescent="0.25">
      <c r="B2497"/>
    </row>
    <row r="2498" spans="2:2" x14ac:dyDescent="0.25">
      <c r="B2498"/>
    </row>
    <row r="2499" spans="2:2" x14ac:dyDescent="0.25">
      <c r="B2499"/>
    </row>
    <row r="2500" spans="2:2" x14ac:dyDescent="0.25">
      <c r="B2500"/>
    </row>
    <row r="2501" spans="2:2" x14ac:dyDescent="0.25">
      <c r="B2501"/>
    </row>
    <row r="2502" spans="2:2" x14ac:dyDescent="0.25">
      <c r="B2502"/>
    </row>
    <row r="2503" spans="2:2" x14ac:dyDescent="0.25">
      <c r="B2503"/>
    </row>
    <row r="2504" spans="2:2" x14ac:dyDescent="0.25">
      <c r="B2504"/>
    </row>
    <row r="2505" spans="2:2" x14ac:dyDescent="0.25">
      <c r="B2505"/>
    </row>
    <row r="2506" spans="2:2" x14ac:dyDescent="0.25">
      <c r="B2506"/>
    </row>
    <row r="2507" spans="2:2" x14ac:dyDescent="0.25">
      <c r="B2507"/>
    </row>
    <row r="2508" spans="2:2" x14ac:dyDescent="0.25">
      <c r="B2508"/>
    </row>
    <row r="2509" spans="2:2" x14ac:dyDescent="0.25">
      <c r="B2509"/>
    </row>
    <row r="2510" spans="2:2" x14ac:dyDescent="0.25">
      <c r="B2510"/>
    </row>
    <row r="2511" spans="2:2" x14ac:dyDescent="0.25">
      <c r="B2511"/>
    </row>
    <row r="2512" spans="2:2" x14ac:dyDescent="0.25">
      <c r="B2512"/>
    </row>
    <row r="2513" spans="2:2" x14ac:dyDescent="0.25">
      <c r="B2513"/>
    </row>
    <row r="2514" spans="2:2" x14ac:dyDescent="0.25">
      <c r="B2514"/>
    </row>
    <row r="2515" spans="2:2" x14ac:dyDescent="0.25">
      <c r="B2515"/>
    </row>
    <row r="2516" spans="2:2" x14ac:dyDescent="0.25">
      <c r="B2516"/>
    </row>
    <row r="2517" spans="2:2" x14ac:dyDescent="0.25">
      <c r="B2517"/>
    </row>
    <row r="2518" spans="2:2" x14ac:dyDescent="0.25">
      <c r="B2518"/>
    </row>
    <row r="2519" spans="2:2" x14ac:dyDescent="0.25">
      <c r="B2519"/>
    </row>
    <row r="2520" spans="2:2" x14ac:dyDescent="0.25">
      <c r="B2520"/>
    </row>
    <row r="2521" spans="2:2" x14ac:dyDescent="0.25">
      <c r="B2521"/>
    </row>
    <row r="2522" spans="2:2" x14ac:dyDescent="0.25">
      <c r="B2522"/>
    </row>
    <row r="2523" spans="2:2" x14ac:dyDescent="0.25">
      <c r="B2523"/>
    </row>
    <row r="2524" spans="2:2" x14ac:dyDescent="0.25">
      <c r="B2524"/>
    </row>
    <row r="2525" spans="2:2" x14ac:dyDescent="0.25">
      <c r="B2525"/>
    </row>
    <row r="2526" spans="2:2" x14ac:dyDescent="0.25">
      <c r="B2526"/>
    </row>
    <row r="2527" spans="2:2" x14ac:dyDescent="0.25">
      <c r="B2527"/>
    </row>
    <row r="2528" spans="2:2" x14ac:dyDescent="0.25">
      <c r="B2528"/>
    </row>
    <row r="2529" spans="2:2" x14ac:dyDescent="0.25">
      <c r="B2529"/>
    </row>
    <row r="2530" spans="2:2" x14ac:dyDescent="0.25">
      <c r="B2530"/>
    </row>
    <row r="2531" spans="2:2" x14ac:dyDescent="0.25">
      <c r="B2531"/>
    </row>
    <row r="2532" spans="2:2" x14ac:dyDescent="0.25">
      <c r="B2532"/>
    </row>
    <row r="2533" spans="2:2" x14ac:dyDescent="0.25">
      <c r="B2533"/>
    </row>
    <row r="2534" spans="2:2" x14ac:dyDescent="0.25">
      <c r="B2534"/>
    </row>
    <row r="2535" spans="2:2" x14ac:dyDescent="0.25">
      <c r="B2535"/>
    </row>
    <row r="2536" spans="2:2" x14ac:dyDescent="0.25">
      <c r="B2536"/>
    </row>
    <row r="2537" spans="2:2" x14ac:dyDescent="0.25">
      <c r="B2537"/>
    </row>
    <row r="2538" spans="2:2" x14ac:dyDescent="0.25">
      <c r="B2538"/>
    </row>
    <row r="2539" spans="2:2" x14ac:dyDescent="0.25">
      <c r="B2539"/>
    </row>
    <row r="2540" spans="2:2" x14ac:dyDescent="0.25">
      <c r="B2540"/>
    </row>
    <row r="2541" spans="2:2" x14ac:dyDescent="0.25">
      <c r="B2541"/>
    </row>
    <row r="2542" spans="2:2" x14ac:dyDescent="0.25">
      <c r="B2542"/>
    </row>
    <row r="2543" spans="2:2" x14ac:dyDescent="0.25">
      <c r="B2543"/>
    </row>
    <row r="2544" spans="2:2" x14ac:dyDescent="0.25">
      <c r="B2544"/>
    </row>
    <row r="2545" spans="2:2" x14ac:dyDescent="0.25">
      <c r="B2545"/>
    </row>
    <row r="2546" spans="2:2" x14ac:dyDescent="0.25">
      <c r="B2546"/>
    </row>
    <row r="2547" spans="2:2" x14ac:dyDescent="0.25">
      <c r="B2547"/>
    </row>
    <row r="2548" spans="2:2" x14ac:dyDescent="0.25">
      <c r="B2548"/>
    </row>
    <row r="2549" spans="2:2" x14ac:dyDescent="0.25">
      <c r="B2549"/>
    </row>
    <row r="2550" spans="2:2" x14ac:dyDescent="0.25">
      <c r="B2550"/>
    </row>
    <row r="2551" spans="2:2" x14ac:dyDescent="0.25">
      <c r="B2551"/>
    </row>
    <row r="2552" spans="2:2" x14ac:dyDescent="0.25">
      <c r="B2552"/>
    </row>
    <row r="2553" spans="2:2" x14ac:dyDescent="0.25">
      <c r="B2553"/>
    </row>
    <row r="2554" spans="2:2" x14ac:dyDescent="0.25">
      <c r="B2554"/>
    </row>
    <row r="2555" spans="2:2" x14ac:dyDescent="0.25">
      <c r="B2555"/>
    </row>
    <row r="2556" spans="2:2" x14ac:dyDescent="0.25">
      <c r="B2556"/>
    </row>
    <row r="2557" spans="2:2" x14ac:dyDescent="0.25">
      <c r="B2557"/>
    </row>
    <row r="2558" spans="2:2" x14ac:dyDescent="0.25">
      <c r="B2558"/>
    </row>
    <row r="2559" spans="2:2" x14ac:dyDescent="0.25">
      <c r="B2559"/>
    </row>
    <row r="2560" spans="2:2" x14ac:dyDescent="0.25">
      <c r="B2560"/>
    </row>
    <row r="2561" spans="2:2" x14ac:dyDescent="0.25">
      <c r="B2561"/>
    </row>
    <row r="2562" spans="2:2" x14ac:dyDescent="0.25">
      <c r="B2562"/>
    </row>
    <row r="2563" spans="2:2" x14ac:dyDescent="0.25">
      <c r="B2563"/>
    </row>
    <row r="2564" spans="2:2" x14ac:dyDescent="0.25">
      <c r="B2564"/>
    </row>
    <row r="2565" spans="2:2" x14ac:dyDescent="0.25">
      <c r="B2565"/>
    </row>
    <row r="2566" spans="2:2" x14ac:dyDescent="0.25">
      <c r="B2566"/>
    </row>
    <row r="2567" spans="2:2" x14ac:dyDescent="0.25">
      <c r="B2567"/>
    </row>
    <row r="2568" spans="2:2" x14ac:dyDescent="0.25">
      <c r="B2568"/>
    </row>
    <row r="2569" spans="2:2" x14ac:dyDescent="0.25">
      <c r="B2569"/>
    </row>
    <row r="2570" spans="2:2" x14ac:dyDescent="0.25">
      <c r="B2570"/>
    </row>
    <row r="2571" spans="2:2" x14ac:dyDescent="0.25">
      <c r="B2571"/>
    </row>
    <row r="2572" spans="2:2" x14ac:dyDescent="0.25">
      <c r="B2572"/>
    </row>
    <row r="2573" spans="2:2" x14ac:dyDescent="0.25">
      <c r="B2573"/>
    </row>
    <row r="2574" spans="2:2" x14ac:dyDescent="0.25">
      <c r="B2574"/>
    </row>
    <row r="2575" spans="2:2" x14ac:dyDescent="0.25">
      <c r="B2575"/>
    </row>
    <row r="2576" spans="2:2" x14ac:dyDescent="0.25">
      <c r="B2576"/>
    </row>
    <row r="2577" spans="2:2" x14ac:dyDescent="0.25">
      <c r="B2577"/>
    </row>
    <row r="2578" spans="2:2" x14ac:dyDescent="0.25">
      <c r="B2578"/>
    </row>
    <row r="2579" spans="2:2" x14ac:dyDescent="0.25">
      <c r="B2579"/>
    </row>
    <row r="2580" spans="2:2" x14ac:dyDescent="0.25">
      <c r="B2580"/>
    </row>
    <row r="2581" spans="2:2" x14ac:dyDescent="0.25">
      <c r="B2581"/>
    </row>
    <row r="2582" spans="2:2" x14ac:dyDescent="0.25">
      <c r="B2582"/>
    </row>
    <row r="2583" spans="2:2" x14ac:dyDescent="0.25">
      <c r="B2583"/>
    </row>
    <row r="2584" spans="2:2" x14ac:dyDescent="0.25">
      <c r="B2584"/>
    </row>
    <row r="2585" spans="2:2" x14ac:dyDescent="0.25">
      <c r="B2585"/>
    </row>
    <row r="2586" spans="2:2" x14ac:dyDescent="0.25">
      <c r="B2586"/>
    </row>
    <row r="2587" spans="2:2" x14ac:dyDescent="0.25">
      <c r="B2587"/>
    </row>
    <row r="2588" spans="2:2" x14ac:dyDescent="0.25">
      <c r="B2588"/>
    </row>
    <row r="2589" spans="2:2" x14ac:dyDescent="0.25">
      <c r="B2589"/>
    </row>
    <row r="2590" spans="2:2" x14ac:dyDescent="0.25">
      <c r="B2590"/>
    </row>
    <row r="2591" spans="2:2" x14ac:dyDescent="0.25">
      <c r="B2591"/>
    </row>
    <row r="2592" spans="2:2" x14ac:dyDescent="0.25">
      <c r="B2592"/>
    </row>
    <row r="2593" spans="2:2" x14ac:dyDescent="0.25">
      <c r="B2593"/>
    </row>
    <row r="2594" spans="2:2" x14ac:dyDescent="0.25">
      <c r="B2594"/>
    </row>
    <row r="2595" spans="2:2" x14ac:dyDescent="0.25">
      <c r="B2595"/>
    </row>
    <row r="2596" spans="2:2" x14ac:dyDescent="0.25">
      <c r="B2596"/>
    </row>
    <row r="2597" spans="2:2" x14ac:dyDescent="0.25">
      <c r="B2597"/>
    </row>
    <row r="2598" spans="2:2" x14ac:dyDescent="0.25">
      <c r="B2598"/>
    </row>
    <row r="2599" spans="2:2" x14ac:dyDescent="0.25">
      <c r="B2599"/>
    </row>
    <row r="2600" spans="2:2" x14ac:dyDescent="0.25">
      <c r="B2600"/>
    </row>
    <row r="2601" spans="2:2" x14ac:dyDescent="0.25">
      <c r="B2601"/>
    </row>
    <row r="2602" spans="2:2" x14ac:dyDescent="0.25">
      <c r="B2602"/>
    </row>
    <row r="2603" spans="2:2" x14ac:dyDescent="0.25">
      <c r="B2603"/>
    </row>
    <row r="2604" spans="2:2" x14ac:dyDescent="0.25">
      <c r="B2604"/>
    </row>
    <row r="2605" spans="2:2" x14ac:dyDescent="0.25">
      <c r="B2605"/>
    </row>
    <row r="2606" spans="2:2" x14ac:dyDescent="0.25">
      <c r="B2606"/>
    </row>
    <row r="2607" spans="2:2" x14ac:dyDescent="0.25">
      <c r="B2607"/>
    </row>
    <row r="2608" spans="2:2" x14ac:dyDescent="0.25">
      <c r="B2608"/>
    </row>
    <row r="2609" spans="2:2" x14ac:dyDescent="0.25">
      <c r="B2609"/>
    </row>
    <row r="2610" spans="2:2" x14ac:dyDescent="0.25">
      <c r="B2610"/>
    </row>
    <row r="2611" spans="2:2" x14ac:dyDescent="0.25">
      <c r="B2611"/>
    </row>
    <row r="2612" spans="2:2" x14ac:dyDescent="0.25">
      <c r="B2612"/>
    </row>
    <row r="2613" spans="2:2" x14ac:dyDescent="0.25">
      <c r="B2613"/>
    </row>
    <row r="2614" spans="2:2" x14ac:dyDescent="0.25">
      <c r="B2614"/>
    </row>
    <row r="2615" spans="2:2" x14ac:dyDescent="0.25">
      <c r="B2615"/>
    </row>
    <row r="2616" spans="2:2" x14ac:dyDescent="0.25">
      <c r="B2616"/>
    </row>
    <row r="2617" spans="2:2" x14ac:dyDescent="0.25">
      <c r="B2617"/>
    </row>
    <row r="2618" spans="2:2" x14ac:dyDescent="0.25">
      <c r="B2618"/>
    </row>
    <row r="2619" spans="2:2" x14ac:dyDescent="0.25">
      <c r="B2619"/>
    </row>
    <row r="2620" spans="2:2" x14ac:dyDescent="0.25">
      <c r="B2620"/>
    </row>
    <row r="2621" spans="2:2" x14ac:dyDescent="0.25">
      <c r="B2621"/>
    </row>
    <row r="2622" spans="2:2" x14ac:dyDescent="0.25">
      <c r="B2622"/>
    </row>
    <row r="2623" spans="2:2" x14ac:dyDescent="0.25">
      <c r="B2623"/>
    </row>
    <row r="2624" spans="2:2" x14ac:dyDescent="0.25">
      <c r="B2624"/>
    </row>
    <row r="2625" spans="2:2" x14ac:dyDescent="0.25">
      <c r="B2625"/>
    </row>
    <row r="2626" spans="2:2" x14ac:dyDescent="0.25">
      <c r="B2626"/>
    </row>
    <row r="2627" spans="2:2" x14ac:dyDescent="0.25">
      <c r="B2627"/>
    </row>
    <row r="2628" spans="2:2" x14ac:dyDescent="0.25">
      <c r="B2628"/>
    </row>
    <row r="2629" spans="2:2" x14ac:dyDescent="0.25">
      <c r="B2629"/>
    </row>
    <row r="2630" spans="2:2" x14ac:dyDescent="0.25">
      <c r="B2630"/>
    </row>
    <row r="2631" spans="2:2" x14ac:dyDescent="0.25">
      <c r="B2631"/>
    </row>
    <row r="2632" spans="2:2" x14ac:dyDescent="0.25">
      <c r="B2632"/>
    </row>
    <row r="2633" spans="2:2" x14ac:dyDescent="0.25">
      <c r="B2633"/>
    </row>
    <row r="2634" spans="2:2" x14ac:dyDescent="0.25">
      <c r="B2634"/>
    </row>
    <row r="2635" spans="2:2" x14ac:dyDescent="0.25">
      <c r="B2635"/>
    </row>
    <row r="2636" spans="2:2" x14ac:dyDescent="0.25">
      <c r="B2636"/>
    </row>
    <row r="2637" spans="2:2" x14ac:dyDescent="0.25">
      <c r="B2637"/>
    </row>
    <row r="2638" spans="2:2" x14ac:dyDescent="0.25">
      <c r="B2638"/>
    </row>
    <row r="2639" spans="2:2" x14ac:dyDescent="0.25">
      <c r="B2639"/>
    </row>
    <row r="2640" spans="2:2" x14ac:dyDescent="0.25">
      <c r="B2640"/>
    </row>
    <row r="2641" spans="2:2" x14ac:dyDescent="0.25">
      <c r="B2641"/>
    </row>
    <row r="2642" spans="2:2" x14ac:dyDescent="0.25">
      <c r="B2642"/>
    </row>
    <row r="2643" spans="2:2" x14ac:dyDescent="0.25">
      <c r="B2643"/>
    </row>
    <row r="2644" spans="2:2" x14ac:dyDescent="0.25">
      <c r="B2644"/>
    </row>
    <row r="2645" spans="2:2" x14ac:dyDescent="0.25">
      <c r="B2645"/>
    </row>
    <row r="2646" spans="2:2" x14ac:dyDescent="0.25">
      <c r="B2646"/>
    </row>
    <row r="2647" spans="2:2" x14ac:dyDescent="0.25">
      <c r="B2647"/>
    </row>
    <row r="2648" spans="2:2" x14ac:dyDescent="0.25">
      <c r="B2648"/>
    </row>
    <row r="2649" spans="2:2" x14ac:dyDescent="0.25">
      <c r="B2649"/>
    </row>
    <row r="2650" spans="2:2" x14ac:dyDescent="0.25">
      <c r="B2650"/>
    </row>
    <row r="2651" spans="2:2" x14ac:dyDescent="0.25">
      <c r="B2651"/>
    </row>
    <row r="2652" spans="2:2" x14ac:dyDescent="0.25">
      <c r="B2652"/>
    </row>
    <row r="2653" spans="2:2" x14ac:dyDescent="0.25">
      <c r="B2653"/>
    </row>
    <row r="2654" spans="2:2" x14ac:dyDescent="0.25">
      <c r="B2654"/>
    </row>
    <row r="2655" spans="2:2" x14ac:dyDescent="0.25">
      <c r="B2655"/>
    </row>
    <row r="2656" spans="2:2" x14ac:dyDescent="0.25">
      <c r="B2656"/>
    </row>
    <row r="2657" spans="2:2" x14ac:dyDescent="0.25">
      <c r="B2657"/>
    </row>
    <row r="2658" spans="2:2" x14ac:dyDescent="0.25">
      <c r="B2658"/>
    </row>
    <row r="2659" spans="2:2" x14ac:dyDescent="0.25">
      <c r="B2659"/>
    </row>
    <row r="2660" spans="2:2" x14ac:dyDescent="0.25">
      <c r="B2660"/>
    </row>
    <row r="2661" spans="2:2" x14ac:dyDescent="0.25">
      <c r="B2661"/>
    </row>
    <row r="2662" spans="2:2" x14ac:dyDescent="0.25">
      <c r="B2662"/>
    </row>
    <row r="2663" spans="2:2" x14ac:dyDescent="0.25">
      <c r="B2663"/>
    </row>
    <row r="2664" spans="2:2" x14ac:dyDescent="0.25">
      <c r="B2664"/>
    </row>
    <row r="2665" spans="2:2" x14ac:dyDescent="0.25">
      <c r="B2665"/>
    </row>
    <row r="2666" spans="2:2" x14ac:dyDescent="0.25">
      <c r="B2666"/>
    </row>
    <row r="2667" spans="2:2" x14ac:dyDescent="0.25">
      <c r="B2667"/>
    </row>
    <row r="2668" spans="2:2" x14ac:dyDescent="0.25">
      <c r="B2668"/>
    </row>
    <row r="2669" spans="2:2" x14ac:dyDescent="0.25">
      <c r="B2669"/>
    </row>
    <row r="2670" spans="2:2" x14ac:dyDescent="0.25">
      <c r="B2670"/>
    </row>
    <row r="2671" spans="2:2" x14ac:dyDescent="0.25">
      <c r="B2671"/>
    </row>
    <row r="2672" spans="2:2" x14ac:dyDescent="0.25">
      <c r="B2672"/>
    </row>
    <row r="2673" spans="2:2" x14ac:dyDescent="0.25">
      <c r="B2673"/>
    </row>
    <row r="2674" spans="2:2" x14ac:dyDescent="0.25">
      <c r="B2674"/>
    </row>
    <row r="2675" spans="2:2" x14ac:dyDescent="0.25">
      <c r="B2675"/>
    </row>
    <row r="2676" spans="2:2" x14ac:dyDescent="0.25">
      <c r="B2676"/>
    </row>
    <row r="2677" spans="2:2" x14ac:dyDescent="0.25">
      <c r="B2677"/>
    </row>
    <row r="2678" spans="2:2" x14ac:dyDescent="0.25">
      <c r="B2678"/>
    </row>
    <row r="2679" spans="2:2" x14ac:dyDescent="0.25">
      <c r="B2679"/>
    </row>
    <row r="2680" spans="2:2" x14ac:dyDescent="0.25">
      <c r="B2680"/>
    </row>
    <row r="2681" spans="2:2" x14ac:dyDescent="0.25">
      <c r="B2681"/>
    </row>
    <row r="2682" spans="2:2" x14ac:dyDescent="0.25">
      <c r="B2682"/>
    </row>
    <row r="2683" spans="2:2" x14ac:dyDescent="0.25">
      <c r="B2683"/>
    </row>
    <row r="2684" spans="2:2" x14ac:dyDescent="0.25">
      <c r="B2684"/>
    </row>
    <row r="2685" spans="2:2" x14ac:dyDescent="0.25">
      <c r="B2685"/>
    </row>
    <row r="2686" spans="2:2" x14ac:dyDescent="0.25">
      <c r="B2686"/>
    </row>
    <row r="2687" spans="2:2" x14ac:dyDescent="0.25">
      <c r="B2687"/>
    </row>
    <row r="2688" spans="2:2" x14ac:dyDescent="0.25">
      <c r="B2688"/>
    </row>
    <row r="2689" spans="2:2" x14ac:dyDescent="0.25">
      <c r="B2689"/>
    </row>
    <row r="2690" spans="2:2" x14ac:dyDescent="0.25">
      <c r="B2690"/>
    </row>
    <row r="2691" spans="2:2" x14ac:dyDescent="0.25">
      <c r="B2691"/>
    </row>
    <row r="2692" spans="2:2" x14ac:dyDescent="0.25">
      <c r="B2692"/>
    </row>
    <row r="2693" spans="2:2" x14ac:dyDescent="0.25">
      <c r="B2693"/>
    </row>
    <row r="2694" spans="2:2" x14ac:dyDescent="0.25">
      <c r="B2694"/>
    </row>
    <row r="2695" spans="2:2" x14ac:dyDescent="0.25">
      <c r="B2695"/>
    </row>
    <row r="2696" spans="2:2" x14ac:dyDescent="0.25">
      <c r="B2696"/>
    </row>
    <row r="2697" spans="2:2" x14ac:dyDescent="0.25">
      <c r="B2697"/>
    </row>
    <row r="2698" spans="2:2" x14ac:dyDescent="0.25">
      <c r="B2698"/>
    </row>
    <row r="2699" spans="2:2" x14ac:dyDescent="0.25">
      <c r="B2699"/>
    </row>
    <row r="2700" spans="2:2" x14ac:dyDescent="0.25">
      <c r="B2700"/>
    </row>
    <row r="2701" spans="2:2" x14ac:dyDescent="0.25">
      <c r="B2701"/>
    </row>
    <row r="2702" spans="2:2" x14ac:dyDescent="0.25">
      <c r="B2702"/>
    </row>
    <row r="2703" spans="2:2" x14ac:dyDescent="0.25">
      <c r="B2703"/>
    </row>
    <row r="2704" spans="2:2" x14ac:dyDescent="0.25">
      <c r="B2704"/>
    </row>
    <row r="2705" spans="2:2" x14ac:dyDescent="0.25">
      <c r="B2705"/>
    </row>
    <row r="2706" spans="2:2" x14ac:dyDescent="0.25">
      <c r="B2706"/>
    </row>
    <row r="2707" spans="2:2" x14ac:dyDescent="0.25">
      <c r="B2707"/>
    </row>
    <row r="2708" spans="2:2" x14ac:dyDescent="0.25">
      <c r="B2708"/>
    </row>
    <row r="2709" spans="2:2" x14ac:dyDescent="0.25">
      <c r="B2709"/>
    </row>
    <row r="2710" spans="2:2" x14ac:dyDescent="0.25">
      <c r="B2710"/>
    </row>
    <row r="2711" spans="2:2" x14ac:dyDescent="0.25">
      <c r="B2711"/>
    </row>
    <row r="2712" spans="2:2" x14ac:dyDescent="0.25">
      <c r="B2712"/>
    </row>
    <row r="2713" spans="2:2" x14ac:dyDescent="0.25">
      <c r="B2713"/>
    </row>
    <row r="2714" spans="2:2" x14ac:dyDescent="0.25">
      <c r="B2714"/>
    </row>
    <row r="2715" spans="2:2" x14ac:dyDescent="0.25">
      <c r="B2715"/>
    </row>
    <row r="2716" spans="2:2" x14ac:dyDescent="0.25">
      <c r="B2716"/>
    </row>
    <row r="2717" spans="2:2" x14ac:dyDescent="0.25">
      <c r="B2717"/>
    </row>
    <row r="2718" spans="2:2" x14ac:dyDescent="0.25">
      <c r="B2718"/>
    </row>
    <row r="2719" spans="2:2" x14ac:dyDescent="0.25">
      <c r="B2719"/>
    </row>
    <row r="2720" spans="2:2" x14ac:dyDescent="0.25">
      <c r="B2720"/>
    </row>
    <row r="2721" spans="2:2" x14ac:dyDescent="0.25">
      <c r="B2721"/>
    </row>
    <row r="2722" spans="2:2" x14ac:dyDescent="0.25">
      <c r="B2722"/>
    </row>
    <row r="2723" spans="2:2" x14ac:dyDescent="0.25">
      <c r="B2723"/>
    </row>
    <row r="2724" spans="2:2" x14ac:dyDescent="0.25">
      <c r="B2724"/>
    </row>
    <row r="2725" spans="2:2" x14ac:dyDescent="0.25">
      <c r="B2725"/>
    </row>
    <row r="2726" spans="2:2" x14ac:dyDescent="0.25">
      <c r="B2726"/>
    </row>
    <row r="2727" spans="2:2" x14ac:dyDescent="0.25">
      <c r="B2727"/>
    </row>
    <row r="2728" spans="2:2" x14ac:dyDescent="0.25">
      <c r="B2728"/>
    </row>
    <row r="2729" spans="2:2" x14ac:dyDescent="0.25">
      <c r="B2729"/>
    </row>
    <row r="2730" spans="2:2" x14ac:dyDescent="0.25">
      <c r="B2730"/>
    </row>
    <row r="2731" spans="2:2" x14ac:dyDescent="0.25">
      <c r="B2731"/>
    </row>
    <row r="2732" spans="2:2" x14ac:dyDescent="0.25">
      <c r="B2732"/>
    </row>
    <row r="2733" spans="2:2" x14ac:dyDescent="0.25">
      <c r="B2733"/>
    </row>
    <row r="2734" spans="2:2" x14ac:dyDescent="0.25">
      <c r="B2734"/>
    </row>
    <row r="2735" spans="2:2" x14ac:dyDescent="0.25">
      <c r="B2735"/>
    </row>
    <row r="2736" spans="2:2" x14ac:dyDescent="0.25">
      <c r="B2736"/>
    </row>
    <row r="2737" spans="2:2" x14ac:dyDescent="0.25">
      <c r="B2737"/>
    </row>
    <row r="2738" spans="2:2" x14ac:dyDescent="0.25">
      <c r="B2738"/>
    </row>
    <row r="2739" spans="2:2" x14ac:dyDescent="0.25">
      <c r="B2739"/>
    </row>
    <row r="2740" spans="2:2" x14ac:dyDescent="0.25">
      <c r="B2740"/>
    </row>
    <row r="2741" spans="2:2" x14ac:dyDescent="0.25">
      <c r="B2741"/>
    </row>
    <row r="2742" spans="2:2" x14ac:dyDescent="0.25">
      <c r="B2742"/>
    </row>
    <row r="2743" spans="2:2" x14ac:dyDescent="0.25">
      <c r="B2743"/>
    </row>
    <row r="2744" spans="2:2" x14ac:dyDescent="0.25">
      <c r="B2744"/>
    </row>
    <row r="2745" spans="2:2" x14ac:dyDescent="0.25">
      <c r="B2745"/>
    </row>
    <row r="2746" spans="2:2" x14ac:dyDescent="0.25">
      <c r="B2746"/>
    </row>
    <row r="2747" spans="2:2" x14ac:dyDescent="0.25">
      <c r="B2747"/>
    </row>
    <row r="2748" spans="2:2" x14ac:dyDescent="0.25">
      <c r="B2748"/>
    </row>
    <row r="2749" spans="2:2" x14ac:dyDescent="0.25">
      <c r="B2749"/>
    </row>
    <row r="2750" spans="2:2" x14ac:dyDescent="0.25">
      <c r="B2750"/>
    </row>
    <row r="2751" spans="2:2" x14ac:dyDescent="0.25">
      <c r="B2751"/>
    </row>
    <row r="2752" spans="2:2" x14ac:dyDescent="0.25">
      <c r="B2752"/>
    </row>
    <row r="2753" spans="2:2" x14ac:dyDescent="0.25">
      <c r="B2753"/>
    </row>
    <row r="2754" spans="2:2" x14ac:dyDescent="0.25">
      <c r="B2754"/>
    </row>
    <row r="2755" spans="2:2" x14ac:dyDescent="0.25">
      <c r="B2755"/>
    </row>
    <row r="2756" spans="2:2" x14ac:dyDescent="0.25">
      <c r="B2756"/>
    </row>
    <row r="2757" spans="2:2" x14ac:dyDescent="0.25">
      <c r="B2757"/>
    </row>
    <row r="2758" spans="2:2" x14ac:dyDescent="0.25">
      <c r="B2758"/>
    </row>
    <row r="2759" spans="2:2" x14ac:dyDescent="0.25">
      <c r="B2759"/>
    </row>
    <row r="2760" spans="2:2" x14ac:dyDescent="0.25">
      <c r="B2760"/>
    </row>
    <row r="2761" spans="2:2" x14ac:dyDescent="0.25">
      <c r="B2761"/>
    </row>
    <row r="2762" spans="2:2" x14ac:dyDescent="0.25">
      <c r="B2762"/>
    </row>
    <row r="2763" spans="2:2" x14ac:dyDescent="0.25">
      <c r="B2763"/>
    </row>
    <row r="2764" spans="2:2" x14ac:dyDescent="0.25">
      <c r="B2764"/>
    </row>
    <row r="2765" spans="2:2" x14ac:dyDescent="0.25">
      <c r="B2765"/>
    </row>
    <row r="2766" spans="2:2" x14ac:dyDescent="0.25">
      <c r="B2766"/>
    </row>
    <row r="2767" spans="2:2" x14ac:dyDescent="0.25">
      <c r="B2767"/>
    </row>
    <row r="2768" spans="2:2" x14ac:dyDescent="0.25">
      <c r="B2768"/>
    </row>
    <row r="2769" spans="2:2" x14ac:dyDescent="0.25">
      <c r="B2769"/>
    </row>
    <row r="2770" spans="2:2" x14ac:dyDescent="0.25">
      <c r="B2770"/>
    </row>
    <row r="2771" spans="2:2" x14ac:dyDescent="0.25">
      <c r="B2771"/>
    </row>
    <row r="2772" spans="2:2" x14ac:dyDescent="0.25">
      <c r="B2772"/>
    </row>
    <row r="2773" spans="2:2" x14ac:dyDescent="0.25">
      <c r="B2773"/>
    </row>
    <row r="2774" spans="2:2" x14ac:dyDescent="0.25">
      <c r="B2774"/>
    </row>
    <row r="2775" spans="2:2" x14ac:dyDescent="0.25">
      <c r="B2775"/>
    </row>
    <row r="2776" spans="2:2" x14ac:dyDescent="0.25">
      <c r="B2776"/>
    </row>
    <row r="2777" spans="2:2" x14ac:dyDescent="0.25">
      <c r="B2777"/>
    </row>
    <row r="2778" spans="2:2" x14ac:dyDescent="0.25">
      <c r="B2778"/>
    </row>
    <row r="2779" spans="2:2" x14ac:dyDescent="0.25">
      <c r="B2779"/>
    </row>
    <row r="2780" spans="2:2" x14ac:dyDescent="0.25">
      <c r="B2780"/>
    </row>
    <row r="2781" spans="2:2" x14ac:dyDescent="0.25">
      <c r="B2781"/>
    </row>
    <row r="2782" spans="2:2" x14ac:dyDescent="0.25">
      <c r="B2782"/>
    </row>
    <row r="2783" spans="2:2" x14ac:dyDescent="0.25">
      <c r="B2783"/>
    </row>
    <row r="2784" spans="2:2" x14ac:dyDescent="0.25">
      <c r="B2784"/>
    </row>
    <row r="2785" spans="2:2" x14ac:dyDescent="0.25">
      <c r="B2785"/>
    </row>
    <row r="2786" spans="2:2" x14ac:dyDescent="0.25">
      <c r="B2786"/>
    </row>
    <row r="2787" spans="2:2" x14ac:dyDescent="0.25">
      <c r="B2787"/>
    </row>
    <row r="2788" spans="2:2" x14ac:dyDescent="0.25">
      <c r="B2788"/>
    </row>
    <row r="2789" spans="2:2" x14ac:dyDescent="0.25">
      <c r="B2789"/>
    </row>
    <row r="2790" spans="2:2" x14ac:dyDescent="0.25">
      <c r="B2790"/>
    </row>
    <row r="2791" spans="2:2" x14ac:dyDescent="0.25">
      <c r="B2791"/>
    </row>
    <row r="2792" spans="2:2" x14ac:dyDescent="0.25">
      <c r="B2792"/>
    </row>
    <row r="2793" spans="2:2" x14ac:dyDescent="0.25">
      <c r="B2793"/>
    </row>
    <row r="2794" spans="2:2" x14ac:dyDescent="0.25">
      <c r="B2794"/>
    </row>
    <row r="2795" spans="2:2" x14ac:dyDescent="0.25">
      <c r="B2795"/>
    </row>
    <row r="2796" spans="2:2" x14ac:dyDescent="0.25">
      <c r="B2796"/>
    </row>
    <row r="2797" spans="2:2" x14ac:dyDescent="0.25">
      <c r="B2797"/>
    </row>
    <row r="2798" spans="2:2" x14ac:dyDescent="0.25">
      <c r="B2798"/>
    </row>
    <row r="2799" spans="2:2" x14ac:dyDescent="0.25">
      <c r="B2799"/>
    </row>
    <row r="2800" spans="2:2" x14ac:dyDescent="0.25">
      <c r="B2800"/>
    </row>
    <row r="2801" spans="2:2" x14ac:dyDescent="0.25">
      <c r="B2801"/>
    </row>
    <row r="2802" spans="2:2" x14ac:dyDescent="0.25">
      <c r="B2802"/>
    </row>
    <row r="2803" spans="2:2" x14ac:dyDescent="0.25">
      <c r="B2803"/>
    </row>
    <row r="2804" spans="2:2" x14ac:dyDescent="0.25">
      <c r="B2804"/>
    </row>
    <row r="2805" spans="2:2" x14ac:dyDescent="0.25">
      <c r="B2805"/>
    </row>
    <row r="2806" spans="2:2" x14ac:dyDescent="0.25">
      <c r="B2806"/>
    </row>
    <row r="2807" spans="2:2" x14ac:dyDescent="0.25">
      <c r="B2807"/>
    </row>
    <row r="2808" spans="2:2" x14ac:dyDescent="0.25">
      <c r="B2808"/>
    </row>
    <row r="2809" spans="2:2" x14ac:dyDescent="0.25">
      <c r="B2809"/>
    </row>
    <row r="2810" spans="2:2" x14ac:dyDescent="0.25">
      <c r="B2810"/>
    </row>
    <row r="2811" spans="2:2" x14ac:dyDescent="0.25">
      <c r="B2811"/>
    </row>
    <row r="2812" spans="2:2" x14ac:dyDescent="0.25">
      <c r="B2812"/>
    </row>
    <row r="2813" spans="2:2" x14ac:dyDescent="0.25">
      <c r="B2813"/>
    </row>
    <row r="2814" spans="2:2" x14ac:dyDescent="0.25">
      <c r="B2814"/>
    </row>
    <row r="2815" spans="2:2" x14ac:dyDescent="0.25">
      <c r="B2815"/>
    </row>
    <row r="2816" spans="2:2" x14ac:dyDescent="0.25">
      <c r="B2816"/>
    </row>
    <row r="2817" spans="2:2" x14ac:dyDescent="0.25">
      <c r="B2817"/>
    </row>
    <row r="2818" spans="2:2" x14ac:dyDescent="0.25">
      <c r="B2818"/>
    </row>
    <row r="2819" spans="2:2" x14ac:dyDescent="0.25">
      <c r="B2819"/>
    </row>
    <row r="2820" spans="2:2" x14ac:dyDescent="0.25">
      <c r="B2820"/>
    </row>
    <row r="2821" spans="2:2" x14ac:dyDescent="0.25">
      <c r="B2821"/>
    </row>
    <row r="2822" spans="2:2" x14ac:dyDescent="0.25">
      <c r="B2822"/>
    </row>
    <row r="2823" spans="2:2" x14ac:dyDescent="0.25">
      <c r="B2823"/>
    </row>
    <row r="2824" spans="2:2" x14ac:dyDescent="0.25">
      <c r="B2824"/>
    </row>
    <row r="2825" spans="2:2" x14ac:dyDescent="0.25">
      <c r="B2825"/>
    </row>
    <row r="2826" spans="2:2" x14ac:dyDescent="0.25">
      <c r="B2826"/>
    </row>
    <row r="2827" spans="2:2" x14ac:dyDescent="0.25">
      <c r="B2827"/>
    </row>
    <row r="2828" spans="2:2" x14ac:dyDescent="0.25">
      <c r="B2828"/>
    </row>
    <row r="2829" spans="2:2" x14ac:dyDescent="0.25">
      <c r="B2829"/>
    </row>
    <row r="2830" spans="2:2" x14ac:dyDescent="0.25">
      <c r="B2830"/>
    </row>
    <row r="2831" spans="2:2" x14ac:dyDescent="0.25">
      <c r="B2831"/>
    </row>
    <row r="2832" spans="2:2" x14ac:dyDescent="0.25">
      <c r="B2832"/>
    </row>
    <row r="2833" spans="2:2" x14ac:dyDescent="0.25">
      <c r="B2833"/>
    </row>
    <row r="2834" spans="2:2" x14ac:dyDescent="0.25">
      <c r="B2834"/>
    </row>
    <row r="2835" spans="2:2" x14ac:dyDescent="0.25">
      <c r="B2835"/>
    </row>
    <row r="2836" spans="2:2" x14ac:dyDescent="0.25">
      <c r="B2836"/>
    </row>
    <row r="2837" spans="2:2" x14ac:dyDescent="0.25">
      <c r="B2837"/>
    </row>
    <row r="2838" spans="2:2" x14ac:dyDescent="0.25">
      <c r="B2838"/>
    </row>
    <row r="2839" spans="2:2" x14ac:dyDescent="0.25">
      <c r="B2839"/>
    </row>
    <row r="2840" spans="2:2" x14ac:dyDescent="0.25">
      <c r="B2840"/>
    </row>
    <row r="2841" spans="2:2" x14ac:dyDescent="0.25">
      <c r="B2841"/>
    </row>
    <row r="2842" spans="2:2" x14ac:dyDescent="0.25">
      <c r="B2842"/>
    </row>
    <row r="2843" spans="2:2" x14ac:dyDescent="0.25">
      <c r="B2843"/>
    </row>
    <row r="2844" spans="2:2" x14ac:dyDescent="0.25">
      <c r="B2844"/>
    </row>
    <row r="2845" spans="2:2" x14ac:dyDescent="0.25">
      <c r="B2845"/>
    </row>
    <row r="2846" spans="2:2" x14ac:dyDescent="0.25">
      <c r="B2846"/>
    </row>
    <row r="2847" spans="2:2" x14ac:dyDescent="0.25">
      <c r="B2847"/>
    </row>
    <row r="2848" spans="2:2" x14ac:dyDescent="0.25">
      <c r="B2848"/>
    </row>
    <row r="2849" spans="2:2" x14ac:dyDescent="0.25">
      <c r="B2849"/>
    </row>
    <row r="2850" spans="2:2" x14ac:dyDescent="0.25">
      <c r="B2850"/>
    </row>
    <row r="2851" spans="2:2" x14ac:dyDescent="0.25">
      <c r="B2851"/>
    </row>
    <row r="2852" spans="2:2" x14ac:dyDescent="0.25">
      <c r="B2852"/>
    </row>
    <row r="2853" spans="2:2" x14ac:dyDescent="0.25">
      <c r="B2853"/>
    </row>
    <row r="2854" spans="2:2" x14ac:dyDescent="0.25">
      <c r="B2854"/>
    </row>
    <row r="2855" spans="2:2" x14ac:dyDescent="0.25">
      <c r="B2855"/>
    </row>
    <row r="2856" spans="2:2" x14ac:dyDescent="0.25">
      <c r="B2856"/>
    </row>
    <row r="2857" spans="2:2" x14ac:dyDescent="0.25">
      <c r="B2857"/>
    </row>
    <row r="2858" spans="2:2" x14ac:dyDescent="0.25">
      <c r="B2858"/>
    </row>
    <row r="2859" spans="2:2" x14ac:dyDescent="0.25">
      <c r="B2859"/>
    </row>
    <row r="2860" spans="2:2" x14ac:dyDescent="0.25">
      <c r="B2860"/>
    </row>
    <row r="2861" spans="2:2" x14ac:dyDescent="0.25">
      <c r="B2861"/>
    </row>
    <row r="2862" spans="2:2" x14ac:dyDescent="0.25">
      <c r="B2862"/>
    </row>
    <row r="2863" spans="2:2" x14ac:dyDescent="0.25">
      <c r="B2863"/>
    </row>
    <row r="2864" spans="2:2" x14ac:dyDescent="0.25">
      <c r="B2864"/>
    </row>
    <row r="2865" spans="2:2" x14ac:dyDescent="0.25">
      <c r="B2865"/>
    </row>
    <row r="2866" spans="2:2" x14ac:dyDescent="0.25">
      <c r="B2866"/>
    </row>
    <row r="2867" spans="2:2" x14ac:dyDescent="0.25">
      <c r="B2867"/>
    </row>
    <row r="2868" spans="2:2" x14ac:dyDescent="0.25">
      <c r="B2868"/>
    </row>
    <row r="2869" spans="2:2" x14ac:dyDescent="0.25">
      <c r="B2869"/>
    </row>
    <row r="2870" spans="2:2" x14ac:dyDescent="0.25">
      <c r="B2870"/>
    </row>
    <row r="2871" spans="2:2" x14ac:dyDescent="0.25">
      <c r="B2871"/>
    </row>
    <row r="2872" spans="2:2" x14ac:dyDescent="0.25">
      <c r="B2872"/>
    </row>
    <row r="2873" spans="2:2" x14ac:dyDescent="0.25">
      <c r="B2873"/>
    </row>
    <row r="2874" spans="2:2" x14ac:dyDescent="0.25">
      <c r="B2874"/>
    </row>
    <row r="2875" spans="2:2" x14ac:dyDescent="0.25">
      <c r="B2875"/>
    </row>
    <row r="2876" spans="2:2" x14ac:dyDescent="0.25">
      <c r="B2876"/>
    </row>
    <row r="2877" spans="2:2" x14ac:dyDescent="0.25">
      <c r="B2877"/>
    </row>
    <row r="2878" spans="2:2" x14ac:dyDescent="0.25">
      <c r="B2878"/>
    </row>
    <row r="2879" spans="2:2" x14ac:dyDescent="0.25">
      <c r="B2879"/>
    </row>
    <row r="2880" spans="2:2" x14ac:dyDescent="0.25">
      <c r="B2880"/>
    </row>
    <row r="2881" spans="2:2" x14ac:dyDescent="0.25">
      <c r="B2881"/>
    </row>
    <row r="2882" spans="2:2" x14ac:dyDescent="0.25">
      <c r="B2882"/>
    </row>
    <row r="2883" spans="2:2" x14ac:dyDescent="0.25">
      <c r="B2883"/>
    </row>
    <row r="2884" spans="2:2" x14ac:dyDescent="0.25">
      <c r="B2884"/>
    </row>
    <row r="2885" spans="2:2" x14ac:dyDescent="0.25">
      <c r="B2885"/>
    </row>
    <row r="2886" spans="2:2" x14ac:dyDescent="0.25">
      <c r="B2886"/>
    </row>
    <row r="2887" spans="2:2" x14ac:dyDescent="0.25">
      <c r="B2887"/>
    </row>
    <row r="2888" spans="2:2" x14ac:dyDescent="0.25">
      <c r="B2888"/>
    </row>
    <row r="2889" spans="2:2" x14ac:dyDescent="0.25">
      <c r="B2889"/>
    </row>
    <row r="2890" spans="2:2" x14ac:dyDescent="0.25">
      <c r="B2890"/>
    </row>
    <row r="2891" spans="2:2" x14ac:dyDescent="0.25">
      <c r="B2891"/>
    </row>
    <row r="2892" spans="2:2" x14ac:dyDescent="0.25">
      <c r="B2892"/>
    </row>
    <row r="2893" spans="2:2" x14ac:dyDescent="0.25">
      <c r="B2893"/>
    </row>
    <row r="2894" spans="2:2" x14ac:dyDescent="0.25">
      <c r="B2894"/>
    </row>
    <row r="2895" spans="2:2" x14ac:dyDescent="0.25">
      <c r="B2895"/>
    </row>
    <row r="2896" spans="2:2" x14ac:dyDescent="0.25">
      <c r="B2896"/>
    </row>
    <row r="2897" spans="2:2" x14ac:dyDescent="0.25">
      <c r="B2897"/>
    </row>
    <row r="2898" spans="2:2" x14ac:dyDescent="0.25">
      <c r="B2898"/>
    </row>
    <row r="2899" spans="2:2" x14ac:dyDescent="0.25">
      <c r="B2899"/>
    </row>
    <row r="2900" spans="2:2" x14ac:dyDescent="0.25">
      <c r="B2900"/>
    </row>
    <row r="2901" spans="2:2" x14ac:dyDescent="0.25">
      <c r="B2901"/>
    </row>
    <row r="2902" spans="2:2" x14ac:dyDescent="0.25">
      <c r="B2902"/>
    </row>
    <row r="2903" spans="2:2" x14ac:dyDescent="0.25">
      <c r="B2903"/>
    </row>
    <row r="2904" spans="2:2" x14ac:dyDescent="0.25">
      <c r="B2904"/>
    </row>
    <row r="2905" spans="2:2" x14ac:dyDescent="0.25">
      <c r="B2905"/>
    </row>
    <row r="2906" spans="2:2" x14ac:dyDescent="0.25">
      <c r="B2906"/>
    </row>
    <row r="2907" spans="2:2" x14ac:dyDescent="0.25">
      <c r="B2907"/>
    </row>
    <row r="2908" spans="2:2" x14ac:dyDescent="0.25">
      <c r="B2908"/>
    </row>
    <row r="2909" spans="2:2" x14ac:dyDescent="0.25">
      <c r="B2909"/>
    </row>
    <row r="2910" spans="2:2" x14ac:dyDescent="0.25">
      <c r="B2910"/>
    </row>
    <row r="2911" spans="2:2" x14ac:dyDescent="0.25">
      <c r="B2911"/>
    </row>
    <row r="2912" spans="2:2" x14ac:dyDescent="0.25">
      <c r="B2912"/>
    </row>
    <row r="2913" spans="2:2" x14ac:dyDescent="0.25">
      <c r="B2913"/>
    </row>
    <row r="2914" spans="2:2" x14ac:dyDescent="0.25">
      <c r="B2914"/>
    </row>
    <row r="2915" spans="2:2" x14ac:dyDescent="0.25">
      <c r="B2915"/>
    </row>
    <row r="2916" spans="2:2" x14ac:dyDescent="0.25">
      <c r="B2916"/>
    </row>
    <row r="2917" spans="2:2" x14ac:dyDescent="0.25">
      <c r="B2917"/>
    </row>
    <row r="2918" spans="2:2" x14ac:dyDescent="0.25">
      <c r="B2918"/>
    </row>
    <row r="2919" spans="2:2" x14ac:dyDescent="0.25">
      <c r="B2919"/>
    </row>
    <row r="2920" spans="2:2" x14ac:dyDescent="0.25">
      <c r="B2920"/>
    </row>
    <row r="2921" spans="2:2" x14ac:dyDescent="0.25">
      <c r="B2921"/>
    </row>
    <row r="2922" spans="2:2" x14ac:dyDescent="0.25">
      <c r="B2922"/>
    </row>
    <row r="2923" spans="2:2" x14ac:dyDescent="0.25">
      <c r="B2923"/>
    </row>
    <row r="2924" spans="2:2" x14ac:dyDescent="0.25">
      <c r="B2924"/>
    </row>
    <row r="2925" spans="2:2" x14ac:dyDescent="0.25">
      <c r="B2925"/>
    </row>
    <row r="2926" spans="2:2" x14ac:dyDescent="0.25">
      <c r="B2926"/>
    </row>
    <row r="2927" spans="2:2" x14ac:dyDescent="0.25">
      <c r="B2927"/>
    </row>
    <row r="2928" spans="2:2" x14ac:dyDescent="0.25">
      <c r="B2928"/>
    </row>
    <row r="2929" spans="2:2" x14ac:dyDescent="0.25">
      <c r="B2929"/>
    </row>
    <row r="2930" spans="2:2" x14ac:dyDescent="0.25">
      <c r="B2930"/>
    </row>
    <row r="2931" spans="2:2" x14ac:dyDescent="0.25">
      <c r="B2931"/>
    </row>
    <row r="2932" spans="2:2" x14ac:dyDescent="0.25">
      <c r="B2932"/>
    </row>
    <row r="2933" spans="2:2" x14ac:dyDescent="0.25">
      <c r="B2933"/>
    </row>
    <row r="2934" spans="2:2" x14ac:dyDescent="0.25">
      <c r="B2934"/>
    </row>
    <row r="2935" spans="2:2" x14ac:dyDescent="0.25">
      <c r="B2935"/>
    </row>
    <row r="2936" spans="2:2" x14ac:dyDescent="0.25">
      <c r="B2936"/>
    </row>
    <row r="2937" spans="2:2" x14ac:dyDescent="0.25">
      <c r="B2937"/>
    </row>
    <row r="2938" spans="2:2" x14ac:dyDescent="0.25">
      <c r="B2938"/>
    </row>
    <row r="2939" spans="2:2" x14ac:dyDescent="0.25">
      <c r="B2939"/>
    </row>
    <row r="2940" spans="2:2" x14ac:dyDescent="0.25">
      <c r="B2940"/>
    </row>
    <row r="2941" spans="2:2" x14ac:dyDescent="0.25">
      <c r="B2941"/>
    </row>
    <row r="2942" spans="2:2" x14ac:dyDescent="0.25">
      <c r="B2942"/>
    </row>
    <row r="2943" spans="2:2" x14ac:dyDescent="0.25">
      <c r="B2943"/>
    </row>
    <row r="2944" spans="2:2" x14ac:dyDescent="0.25">
      <c r="B2944"/>
    </row>
    <row r="2945" spans="2:2" x14ac:dyDescent="0.25">
      <c r="B2945"/>
    </row>
    <row r="2946" spans="2:2" x14ac:dyDescent="0.25">
      <c r="B2946"/>
    </row>
    <row r="2947" spans="2:2" x14ac:dyDescent="0.25">
      <c r="B2947"/>
    </row>
    <row r="2948" spans="2:2" x14ac:dyDescent="0.25">
      <c r="B2948"/>
    </row>
    <row r="2949" spans="2:2" x14ac:dyDescent="0.25">
      <c r="B2949"/>
    </row>
    <row r="2950" spans="2:2" x14ac:dyDescent="0.25">
      <c r="B2950"/>
    </row>
    <row r="2951" spans="2:2" x14ac:dyDescent="0.25">
      <c r="B2951"/>
    </row>
    <row r="2952" spans="2:2" x14ac:dyDescent="0.25">
      <c r="B2952"/>
    </row>
    <row r="2953" spans="2:2" x14ac:dyDescent="0.25">
      <c r="B2953"/>
    </row>
    <row r="2954" spans="2:2" x14ac:dyDescent="0.25">
      <c r="B2954"/>
    </row>
    <row r="2955" spans="2:2" x14ac:dyDescent="0.25">
      <c r="B2955"/>
    </row>
    <row r="2956" spans="2:2" x14ac:dyDescent="0.25">
      <c r="B2956"/>
    </row>
    <row r="2957" spans="2:2" x14ac:dyDescent="0.25">
      <c r="B2957"/>
    </row>
    <row r="2958" spans="2:2" x14ac:dyDescent="0.25">
      <c r="B2958"/>
    </row>
    <row r="2959" spans="2:2" x14ac:dyDescent="0.25">
      <c r="B2959"/>
    </row>
    <row r="2960" spans="2:2" x14ac:dyDescent="0.25">
      <c r="B2960"/>
    </row>
    <row r="2961" spans="2:2" x14ac:dyDescent="0.25">
      <c r="B2961"/>
    </row>
    <row r="2962" spans="2:2" x14ac:dyDescent="0.25">
      <c r="B2962"/>
    </row>
    <row r="2963" spans="2:2" x14ac:dyDescent="0.25">
      <c r="B2963"/>
    </row>
    <row r="2964" spans="2:2" x14ac:dyDescent="0.25">
      <c r="B2964"/>
    </row>
    <row r="2965" spans="2:2" x14ac:dyDescent="0.25">
      <c r="B2965"/>
    </row>
    <row r="2966" spans="2:2" x14ac:dyDescent="0.25">
      <c r="B2966"/>
    </row>
    <row r="2967" spans="2:2" x14ac:dyDescent="0.25">
      <c r="B2967"/>
    </row>
    <row r="2968" spans="2:2" x14ac:dyDescent="0.25">
      <c r="B2968"/>
    </row>
    <row r="2969" spans="2:2" x14ac:dyDescent="0.25">
      <c r="B2969"/>
    </row>
    <row r="2970" spans="2:2" x14ac:dyDescent="0.25">
      <c r="B2970"/>
    </row>
    <row r="2971" spans="2:2" x14ac:dyDescent="0.25">
      <c r="B2971"/>
    </row>
    <row r="2972" spans="2:2" x14ac:dyDescent="0.25">
      <c r="B2972"/>
    </row>
    <row r="2973" spans="2:2" x14ac:dyDescent="0.25">
      <c r="B2973"/>
    </row>
    <row r="2974" spans="2:2" x14ac:dyDescent="0.25">
      <c r="B2974"/>
    </row>
    <row r="2975" spans="2:2" x14ac:dyDescent="0.25">
      <c r="B2975"/>
    </row>
    <row r="2976" spans="2:2" x14ac:dyDescent="0.25">
      <c r="B2976"/>
    </row>
    <row r="2977" spans="2:2" x14ac:dyDescent="0.25">
      <c r="B2977"/>
    </row>
    <row r="2978" spans="2:2" x14ac:dyDescent="0.25">
      <c r="B2978"/>
    </row>
    <row r="2979" spans="2:2" x14ac:dyDescent="0.25">
      <c r="B2979"/>
    </row>
    <row r="2980" spans="2:2" x14ac:dyDescent="0.25">
      <c r="B2980"/>
    </row>
    <row r="2981" spans="2:2" x14ac:dyDescent="0.25">
      <c r="B2981"/>
    </row>
    <row r="2982" spans="2:2" x14ac:dyDescent="0.25">
      <c r="B2982"/>
    </row>
    <row r="2983" spans="2:2" x14ac:dyDescent="0.25">
      <c r="B2983"/>
    </row>
    <row r="2984" spans="2:2" x14ac:dyDescent="0.25">
      <c r="B2984"/>
    </row>
    <row r="2985" spans="2:2" x14ac:dyDescent="0.25">
      <c r="B2985"/>
    </row>
    <row r="2986" spans="2:2" x14ac:dyDescent="0.25">
      <c r="B2986"/>
    </row>
    <row r="2987" spans="2:2" x14ac:dyDescent="0.25">
      <c r="B2987"/>
    </row>
    <row r="2988" spans="2:2" x14ac:dyDescent="0.25">
      <c r="B2988"/>
    </row>
    <row r="2989" spans="2:2" x14ac:dyDescent="0.25">
      <c r="B2989"/>
    </row>
    <row r="2990" spans="2:2" x14ac:dyDescent="0.25">
      <c r="B2990"/>
    </row>
    <row r="2991" spans="2:2" x14ac:dyDescent="0.25">
      <c r="B2991"/>
    </row>
    <row r="2992" spans="2:2" x14ac:dyDescent="0.25">
      <c r="B2992"/>
    </row>
    <row r="2993" spans="2:2" x14ac:dyDescent="0.25">
      <c r="B2993"/>
    </row>
    <row r="2994" spans="2:2" x14ac:dyDescent="0.25">
      <c r="B2994"/>
    </row>
    <row r="2995" spans="2:2" x14ac:dyDescent="0.25">
      <c r="B2995"/>
    </row>
    <row r="2996" spans="2:2" x14ac:dyDescent="0.25">
      <c r="B2996"/>
    </row>
    <row r="2997" spans="2:2" x14ac:dyDescent="0.25">
      <c r="B2997"/>
    </row>
    <row r="2998" spans="2:2" x14ac:dyDescent="0.25">
      <c r="B2998"/>
    </row>
    <row r="2999" spans="2:2" x14ac:dyDescent="0.25">
      <c r="B2999"/>
    </row>
    <row r="3000" spans="2:2" x14ac:dyDescent="0.25">
      <c r="B3000"/>
    </row>
    <row r="3001" spans="2:2" x14ac:dyDescent="0.25">
      <c r="B3001"/>
    </row>
    <row r="3002" spans="2:2" x14ac:dyDescent="0.25">
      <c r="B3002"/>
    </row>
    <row r="3003" spans="2:2" x14ac:dyDescent="0.25">
      <c r="B3003"/>
    </row>
    <row r="3004" spans="2:2" x14ac:dyDescent="0.25">
      <c r="B3004"/>
    </row>
    <row r="3005" spans="2:2" x14ac:dyDescent="0.25">
      <c r="B3005"/>
    </row>
    <row r="3006" spans="2:2" x14ac:dyDescent="0.25">
      <c r="B3006"/>
    </row>
    <row r="3007" spans="2:2" x14ac:dyDescent="0.25">
      <c r="B3007"/>
    </row>
    <row r="3008" spans="2:2" x14ac:dyDescent="0.25">
      <c r="B3008"/>
    </row>
    <row r="3009" spans="2:2" x14ac:dyDescent="0.25">
      <c r="B3009"/>
    </row>
    <row r="3010" spans="2:2" x14ac:dyDescent="0.25">
      <c r="B3010"/>
    </row>
    <row r="3011" spans="2:2" x14ac:dyDescent="0.25">
      <c r="B3011"/>
    </row>
    <row r="3012" spans="2:2" x14ac:dyDescent="0.25">
      <c r="B3012"/>
    </row>
    <row r="3013" spans="2:2" x14ac:dyDescent="0.25">
      <c r="B3013"/>
    </row>
    <row r="3014" spans="2:2" x14ac:dyDescent="0.25">
      <c r="B3014"/>
    </row>
    <row r="3015" spans="2:2" x14ac:dyDescent="0.25">
      <c r="B3015"/>
    </row>
    <row r="3016" spans="2:2" x14ac:dyDescent="0.25">
      <c r="B3016"/>
    </row>
    <row r="3017" spans="2:2" x14ac:dyDescent="0.25">
      <c r="B3017"/>
    </row>
    <row r="3018" spans="2:2" x14ac:dyDescent="0.25">
      <c r="B3018"/>
    </row>
    <row r="3019" spans="2:2" x14ac:dyDescent="0.25">
      <c r="B3019"/>
    </row>
    <row r="3020" spans="2:2" x14ac:dyDescent="0.25">
      <c r="B3020"/>
    </row>
    <row r="3021" spans="2:2" x14ac:dyDescent="0.25">
      <c r="B3021"/>
    </row>
    <row r="3022" spans="2:2" x14ac:dyDescent="0.25">
      <c r="B3022"/>
    </row>
    <row r="3023" spans="2:2" x14ac:dyDescent="0.25">
      <c r="B3023"/>
    </row>
    <row r="3024" spans="2:2" x14ac:dyDescent="0.25">
      <c r="B3024"/>
    </row>
    <row r="3025" spans="2:2" x14ac:dyDescent="0.25">
      <c r="B3025"/>
    </row>
    <row r="3026" spans="2:2" x14ac:dyDescent="0.25">
      <c r="B3026"/>
    </row>
    <row r="3027" spans="2:2" x14ac:dyDescent="0.25">
      <c r="B3027"/>
    </row>
    <row r="3028" spans="2:2" x14ac:dyDescent="0.25">
      <c r="B3028"/>
    </row>
    <row r="3029" spans="2:2" x14ac:dyDescent="0.25">
      <c r="B3029"/>
    </row>
    <row r="3030" spans="2:2" x14ac:dyDescent="0.25">
      <c r="B3030"/>
    </row>
    <row r="3031" spans="2:2" x14ac:dyDescent="0.25">
      <c r="B3031"/>
    </row>
    <row r="3032" spans="2:2" x14ac:dyDescent="0.25">
      <c r="B3032"/>
    </row>
    <row r="3033" spans="2:2" x14ac:dyDescent="0.25">
      <c r="B3033"/>
    </row>
    <row r="3034" spans="2:2" x14ac:dyDescent="0.25">
      <c r="B3034"/>
    </row>
    <row r="3035" spans="2:2" x14ac:dyDescent="0.25">
      <c r="B3035"/>
    </row>
    <row r="3036" spans="2:2" x14ac:dyDescent="0.25">
      <c r="B3036"/>
    </row>
    <row r="3037" spans="2:2" x14ac:dyDescent="0.25">
      <c r="B3037"/>
    </row>
    <row r="3038" spans="2:2" x14ac:dyDescent="0.25">
      <c r="B3038"/>
    </row>
    <row r="3039" spans="2:2" x14ac:dyDescent="0.25">
      <c r="B3039"/>
    </row>
    <row r="3040" spans="2:2" x14ac:dyDescent="0.25">
      <c r="B3040"/>
    </row>
    <row r="3041" spans="2:2" x14ac:dyDescent="0.25">
      <c r="B3041"/>
    </row>
    <row r="3042" spans="2:2" x14ac:dyDescent="0.25">
      <c r="B3042"/>
    </row>
    <row r="3043" spans="2:2" x14ac:dyDescent="0.25">
      <c r="B3043"/>
    </row>
    <row r="3044" spans="2:2" x14ac:dyDescent="0.25">
      <c r="B3044"/>
    </row>
    <row r="3045" spans="2:2" x14ac:dyDescent="0.25">
      <c r="B3045"/>
    </row>
    <row r="3046" spans="2:2" x14ac:dyDescent="0.25">
      <c r="B3046"/>
    </row>
    <row r="3047" spans="2:2" x14ac:dyDescent="0.25">
      <c r="B3047"/>
    </row>
    <row r="3048" spans="2:2" x14ac:dyDescent="0.25">
      <c r="B3048"/>
    </row>
    <row r="3049" spans="2:2" x14ac:dyDescent="0.25">
      <c r="B3049"/>
    </row>
    <row r="3050" spans="2:2" x14ac:dyDescent="0.25">
      <c r="B3050"/>
    </row>
    <row r="3051" spans="2:2" x14ac:dyDescent="0.25">
      <c r="B3051"/>
    </row>
    <row r="3052" spans="2:2" x14ac:dyDescent="0.25">
      <c r="B3052"/>
    </row>
    <row r="3053" spans="2:2" x14ac:dyDescent="0.25">
      <c r="B3053"/>
    </row>
    <row r="3054" spans="2:2" x14ac:dyDescent="0.25">
      <c r="B3054"/>
    </row>
    <row r="3055" spans="2:2" x14ac:dyDescent="0.25">
      <c r="B3055"/>
    </row>
    <row r="3056" spans="2:2" x14ac:dyDescent="0.25">
      <c r="B3056"/>
    </row>
    <row r="3057" spans="2:2" x14ac:dyDescent="0.25">
      <c r="B3057"/>
    </row>
    <row r="3058" spans="2:2" x14ac:dyDescent="0.25">
      <c r="B3058"/>
    </row>
    <row r="3059" spans="2:2" x14ac:dyDescent="0.25">
      <c r="B3059"/>
    </row>
    <row r="3060" spans="2:2" x14ac:dyDescent="0.25">
      <c r="B3060"/>
    </row>
    <row r="3061" spans="2:2" x14ac:dyDescent="0.25">
      <c r="B3061"/>
    </row>
    <row r="3062" spans="2:2" x14ac:dyDescent="0.25">
      <c r="B3062"/>
    </row>
    <row r="3063" spans="2:2" x14ac:dyDescent="0.25">
      <c r="B3063"/>
    </row>
    <row r="3064" spans="2:2" x14ac:dyDescent="0.25">
      <c r="B3064"/>
    </row>
    <row r="3065" spans="2:2" x14ac:dyDescent="0.25">
      <c r="B3065"/>
    </row>
    <row r="3066" spans="2:2" x14ac:dyDescent="0.25">
      <c r="B3066"/>
    </row>
    <row r="3067" spans="2:2" x14ac:dyDescent="0.25">
      <c r="B3067"/>
    </row>
    <row r="3068" spans="2:2" x14ac:dyDescent="0.25">
      <c r="B3068"/>
    </row>
    <row r="3069" spans="2:2" x14ac:dyDescent="0.25">
      <c r="B3069"/>
    </row>
    <row r="3070" spans="2:2" x14ac:dyDescent="0.25">
      <c r="B3070"/>
    </row>
    <row r="3071" spans="2:2" x14ac:dyDescent="0.25">
      <c r="B3071"/>
    </row>
    <row r="3072" spans="2:2" x14ac:dyDescent="0.25">
      <c r="B3072"/>
    </row>
    <row r="3073" spans="2:2" x14ac:dyDescent="0.25">
      <c r="B3073"/>
    </row>
    <row r="3074" spans="2:2" x14ac:dyDescent="0.25">
      <c r="B3074"/>
    </row>
    <row r="3075" spans="2:2" x14ac:dyDescent="0.25">
      <c r="B3075"/>
    </row>
    <row r="3076" spans="2:2" x14ac:dyDescent="0.25">
      <c r="B3076"/>
    </row>
    <row r="3077" spans="2:2" x14ac:dyDescent="0.25">
      <c r="B3077"/>
    </row>
    <row r="3078" spans="2:2" x14ac:dyDescent="0.25">
      <c r="B3078"/>
    </row>
    <row r="3079" spans="2:2" x14ac:dyDescent="0.25">
      <c r="B3079"/>
    </row>
    <row r="3080" spans="2:2" x14ac:dyDescent="0.25">
      <c r="B3080"/>
    </row>
    <row r="3081" spans="2:2" x14ac:dyDescent="0.25">
      <c r="B3081"/>
    </row>
    <row r="3082" spans="2:2" x14ac:dyDescent="0.25">
      <c r="B3082"/>
    </row>
    <row r="3083" spans="2:2" x14ac:dyDescent="0.25">
      <c r="B3083"/>
    </row>
    <row r="3084" spans="2:2" x14ac:dyDescent="0.25">
      <c r="B3084"/>
    </row>
    <row r="3085" spans="2:2" x14ac:dyDescent="0.25">
      <c r="B3085"/>
    </row>
    <row r="3086" spans="2:2" x14ac:dyDescent="0.25">
      <c r="B3086"/>
    </row>
    <row r="3087" spans="2:2" x14ac:dyDescent="0.25">
      <c r="B3087"/>
    </row>
    <row r="3088" spans="2:2" x14ac:dyDescent="0.25">
      <c r="B3088"/>
    </row>
    <row r="3089" spans="2:2" x14ac:dyDescent="0.25">
      <c r="B3089"/>
    </row>
    <row r="3090" spans="2:2" x14ac:dyDescent="0.25">
      <c r="B3090"/>
    </row>
    <row r="3091" spans="2:2" x14ac:dyDescent="0.25">
      <c r="B3091"/>
    </row>
    <row r="3092" spans="2:2" x14ac:dyDescent="0.25">
      <c r="B3092"/>
    </row>
    <row r="3093" spans="2:2" x14ac:dyDescent="0.25">
      <c r="B3093"/>
    </row>
    <row r="3094" spans="2:2" x14ac:dyDescent="0.25">
      <c r="B3094"/>
    </row>
    <row r="3095" spans="2:2" x14ac:dyDescent="0.25">
      <c r="B3095"/>
    </row>
    <row r="3096" spans="2:2" x14ac:dyDescent="0.25">
      <c r="B3096"/>
    </row>
    <row r="3097" spans="2:2" x14ac:dyDescent="0.25">
      <c r="B3097"/>
    </row>
    <row r="3098" spans="2:2" x14ac:dyDescent="0.25">
      <c r="B3098"/>
    </row>
    <row r="3099" spans="2:2" x14ac:dyDescent="0.25">
      <c r="B3099"/>
    </row>
    <row r="3100" spans="2:2" x14ac:dyDescent="0.25">
      <c r="B3100"/>
    </row>
    <row r="3101" spans="2:2" x14ac:dyDescent="0.25">
      <c r="B3101"/>
    </row>
    <row r="3102" spans="2:2" x14ac:dyDescent="0.25">
      <c r="B3102"/>
    </row>
    <row r="3103" spans="2:2" x14ac:dyDescent="0.25">
      <c r="B3103"/>
    </row>
    <row r="3104" spans="2:2" x14ac:dyDescent="0.25">
      <c r="B3104"/>
    </row>
    <row r="3105" spans="2:2" x14ac:dyDescent="0.25">
      <c r="B3105"/>
    </row>
    <row r="3106" spans="2:2" x14ac:dyDescent="0.25">
      <c r="B3106"/>
    </row>
    <row r="3107" spans="2:2" x14ac:dyDescent="0.25">
      <c r="B3107"/>
    </row>
    <row r="3108" spans="2:2" x14ac:dyDescent="0.25">
      <c r="B3108"/>
    </row>
    <row r="3109" spans="2:2" x14ac:dyDescent="0.25">
      <c r="B3109"/>
    </row>
    <row r="3110" spans="2:2" x14ac:dyDescent="0.25">
      <c r="B3110"/>
    </row>
    <row r="3111" spans="2:2" x14ac:dyDescent="0.25">
      <c r="B3111"/>
    </row>
    <row r="3112" spans="2:2" x14ac:dyDescent="0.25">
      <c r="B3112"/>
    </row>
    <row r="3113" spans="2:2" x14ac:dyDescent="0.25">
      <c r="B3113"/>
    </row>
    <row r="3114" spans="2:2" x14ac:dyDescent="0.25">
      <c r="B3114"/>
    </row>
    <row r="3115" spans="2:2" x14ac:dyDescent="0.25">
      <c r="B3115"/>
    </row>
    <row r="3116" spans="2:2" x14ac:dyDescent="0.25">
      <c r="B3116"/>
    </row>
    <row r="3117" spans="2:2" x14ac:dyDescent="0.25">
      <c r="B3117"/>
    </row>
    <row r="3118" spans="2:2" x14ac:dyDescent="0.25">
      <c r="B3118"/>
    </row>
    <row r="3119" spans="2:2" x14ac:dyDescent="0.25">
      <c r="B3119"/>
    </row>
    <row r="3120" spans="2:2" x14ac:dyDescent="0.25">
      <c r="B3120"/>
    </row>
    <row r="3121" spans="2:2" x14ac:dyDescent="0.25">
      <c r="B3121"/>
    </row>
    <row r="3122" spans="2:2" x14ac:dyDescent="0.25">
      <c r="B3122"/>
    </row>
    <row r="3123" spans="2:2" x14ac:dyDescent="0.25">
      <c r="B3123"/>
    </row>
    <row r="3124" spans="2:2" x14ac:dyDescent="0.25">
      <c r="B3124"/>
    </row>
    <row r="3125" spans="2:2" x14ac:dyDescent="0.25">
      <c r="B3125"/>
    </row>
    <row r="3126" spans="2:2" x14ac:dyDescent="0.25">
      <c r="B3126"/>
    </row>
    <row r="3127" spans="2:2" x14ac:dyDescent="0.25">
      <c r="B3127"/>
    </row>
    <row r="3128" spans="2:2" x14ac:dyDescent="0.25">
      <c r="B3128"/>
    </row>
    <row r="3129" spans="2:2" x14ac:dyDescent="0.25">
      <c r="B3129"/>
    </row>
    <row r="3130" spans="2:2" x14ac:dyDescent="0.25">
      <c r="B3130"/>
    </row>
    <row r="3131" spans="2:2" x14ac:dyDescent="0.25">
      <c r="B3131"/>
    </row>
    <row r="3132" spans="2:2" x14ac:dyDescent="0.25">
      <c r="B3132"/>
    </row>
    <row r="3133" spans="2:2" x14ac:dyDescent="0.25">
      <c r="B3133"/>
    </row>
    <row r="3134" spans="2:2" x14ac:dyDescent="0.25">
      <c r="B3134"/>
    </row>
    <row r="3135" spans="2:2" x14ac:dyDescent="0.25">
      <c r="B3135"/>
    </row>
    <row r="3136" spans="2:2" x14ac:dyDescent="0.25">
      <c r="B3136"/>
    </row>
    <row r="3137" spans="2:2" x14ac:dyDescent="0.25">
      <c r="B3137"/>
    </row>
    <row r="3138" spans="2:2" x14ac:dyDescent="0.25">
      <c r="B3138"/>
    </row>
    <row r="3139" spans="2:2" x14ac:dyDescent="0.25">
      <c r="B3139"/>
    </row>
    <row r="3140" spans="2:2" x14ac:dyDescent="0.25">
      <c r="B3140"/>
    </row>
    <row r="3141" spans="2:2" x14ac:dyDescent="0.25">
      <c r="B3141"/>
    </row>
    <row r="3142" spans="2:2" x14ac:dyDescent="0.25">
      <c r="B3142"/>
    </row>
    <row r="3143" spans="2:2" x14ac:dyDescent="0.25">
      <c r="B3143"/>
    </row>
    <row r="3144" spans="2:2" x14ac:dyDescent="0.25">
      <c r="B3144"/>
    </row>
    <row r="3145" spans="2:2" x14ac:dyDescent="0.25">
      <c r="B3145"/>
    </row>
    <row r="3146" spans="2:2" x14ac:dyDescent="0.25">
      <c r="B3146"/>
    </row>
    <row r="3147" spans="2:2" x14ac:dyDescent="0.25">
      <c r="B3147"/>
    </row>
    <row r="3148" spans="2:2" x14ac:dyDescent="0.25">
      <c r="B3148"/>
    </row>
    <row r="3149" spans="2:2" x14ac:dyDescent="0.25">
      <c r="B3149"/>
    </row>
    <row r="3150" spans="2:2" x14ac:dyDescent="0.25">
      <c r="B3150"/>
    </row>
    <row r="3151" spans="2:2" x14ac:dyDescent="0.25">
      <c r="B3151"/>
    </row>
    <row r="3152" spans="2:2" x14ac:dyDescent="0.25">
      <c r="B3152"/>
    </row>
    <row r="3153" spans="2:2" x14ac:dyDescent="0.25">
      <c r="B3153"/>
    </row>
    <row r="3154" spans="2:2" x14ac:dyDescent="0.25">
      <c r="B3154"/>
    </row>
    <row r="3155" spans="2:2" x14ac:dyDescent="0.25">
      <c r="B3155"/>
    </row>
    <row r="3156" spans="2:2" x14ac:dyDescent="0.25">
      <c r="B3156"/>
    </row>
    <row r="3157" spans="2:2" x14ac:dyDescent="0.25">
      <c r="B3157"/>
    </row>
    <row r="3158" spans="2:2" x14ac:dyDescent="0.25">
      <c r="B3158"/>
    </row>
    <row r="3159" spans="2:2" x14ac:dyDescent="0.25">
      <c r="B3159"/>
    </row>
    <row r="3160" spans="2:2" x14ac:dyDescent="0.25">
      <c r="B3160"/>
    </row>
    <row r="3161" spans="2:2" x14ac:dyDescent="0.25">
      <c r="B3161"/>
    </row>
    <row r="3162" spans="2:2" x14ac:dyDescent="0.25">
      <c r="B3162"/>
    </row>
    <row r="3163" spans="2:2" x14ac:dyDescent="0.25">
      <c r="B3163"/>
    </row>
    <row r="3164" spans="2:2" x14ac:dyDescent="0.25">
      <c r="B3164"/>
    </row>
    <row r="3165" spans="2:2" x14ac:dyDescent="0.25">
      <c r="B3165"/>
    </row>
    <row r="3166" spans="2:2" x14ac:dyDescent="0.25">
      <c r="B3166"/>
    </row>
    <row r="3167" spans="2:2" x14ac:dyDescent="0.25">
      <c r="B3167"/>
    </row>
    <row r="3168" spans="2:2" x14ac:dyDescent="0.25">
      <c r="B3168"/>
    </row>
    <row r="3169" spans="2:2" x14ac:dyDescent="0.25">
      <c r="B3169"/>
    </row>
    <row r="3170" spans="2:2" x14ac:dyDescent="0.25">
      <c r="B3170"/>
    </row>
    <row r="3171" spans="2:2" x14ac:dyDescent="0.25">
      <c r="B3171"/>
    </row>
    <row r="3172" spans="2:2" x14ac:dyDescent="0.25">
      <c r="B3172"/>
    </row>
    <row r="3173" spans="2:2" x14ac:dyDescent="0.25">
      <c r="B3173"/>
    </row>
    <row r="3174" spans="2:2" x14ac:dyDescent="0.25">
      <c r="B3174"/>
    </row>
    <row r="3175" spans="2:2" x14ac:dyDescent="0.25">
      <c r="B3175"/>
    </row>
    <row r="3176" spans="2:2" x14ac:dyDescent="0.25">
      <c r="B3176"/>
    </row>
    <row r="3177" spans="2:2" x14ac:dyDescent="0.25">
      <c r="B3177"/>
    </row>
    <row r="3178" spans="2:2" x14ac:dyDescent="0.25">
      <c r="B3178"/>
    </row>
    <row r="3179" spans="2:2" x14ac:dyDescent="0.25">
      <c r="B3179"/>
    </row>
    <row r="3180" spans="2:2" x14ac:dyDescent="0.25">
      <c r="B3180"/>
    </row>
    <row r="3181" spans="2:2" x14ac:dyDescent="0.25">
      <c r="B3181"/>
    </row>
    <row r="3182" spans="2:2" x14ac:dyDescent="0.25">
      <c r="B3182"/>
    </row>
    <row r="3183" spans="2:2" x14ac:dyDescent="0.25">
      <c r="B3183"/>
    </row>
    <row r="3184" spans="2:2" x14ac:dyDescent="0.25">
      <c r="B3184"/>
    </row>
    <row r="3185" spans="2:2" x14ac:dyDescent="0.25">
      <c r="B3185"/>
    </row>
    <row r="3186" spans="2:2" x14ac:dyDescent="0.25">
      <c r="B3186"/>
    </row>
    <row r="3187" spans="2:2" x14ac:dyDescent="0.25">
      <c r="B3187"/>
    </row>
    <row r="3188" spans="2:2" x14ac:dyDescent="0.25">
      <c r="B3188"/>
    </row>
    <row r="3189" spans="2:2" x14ac:dyDescent="0.25">
      <c r="B3189"/>
    </row>
    <row r="3190" spans="2:2" x14ac:dyDescent="0.25">
      <c r="B3190"/>
    </row>
    <row r="3191" spans="2:2" x14ac:dyDescent="0.25">
      <c r="B3191"/>
    </row>
    <row r="3192" spans="2:2" x14ac:dyDescent="0.25">
      <c r="B3192"/>
    </row>
    <row r="3193" spans="2:2" x14ac:dyDescent="0.25">
      <c r="B3193"/>
    </row>
    <row r="3194" spans="2:2" x14ac:dyDescent="0.25">
      <c r="B3194"/>
    </row>
    <row r="3195" spans="2:2" x14ac:dyDescent="0.25">
      <c r="B3195"/>
    </row>
    <row r="3196" spans="2:2" x14ac:dyDescent="0.25">
      <c r="B3196"/>
    </row>
    <row r="3197" spans="2:2" x14ac:dyDescent="0.25">
      <c r="B3197"/>
    </row>
    <row r="3198" spans="2:2" x14ac:dyDescent="0.25">
      <c r="B3198"/>
    </row>
    <row r="3199" spans="2:2" x14ac:dyDescent="0.25">
      <c r="B3199"/>
    </row>
    <row r="3200" spans="2:2" x14ac:dyDescent="0.25">
      <c r="B3200"/>
    </row>
    <row r="3201" spans="2:2" x14ac:dyDescent="0.25">
      <c r="B3201"/>
    </row>
    <row r="3202" spans="2:2" x14ac:dyDescent="0.25">
      <c r="B3202"/>
    </row>
    <row r="3203" spans="2:2" x14ac:dyDescent="0.25">
      <c r="B3203"/>
    </row>
    <row r="3204" spans="2:2" x14ac:dyDescent="0.25">
      <c r="B3204"/>
    </row>
    <row r="3205" spans="2:2" x14ac:dyDescent="0.25">
      <c r="B3205"/>
    </row>
    <row r="3206" spans="2:2" x14ac:dyDescent="0.25">
      <c r="B3206"/>
    </row>
    <row r="3207" spans="2:2" x14ac:dyDescent="0.25">
      <c r="B3207"/>
    </row>
    <row r="3208" spans="2:2" x14ac:dyDescent="0.25">
      <c r="B3208"/>
    </row>
    <row r="3209" spans="2:2" x14ac:dyDescent="0.25">
      <c r="B3209"/>
    </row>
    <row r="3210" spans="2:2" x14ac:dyDescent="0.25">
      <c r="B3210"/>
    </row>
    <row r="3211" spans="2:2" x14ac:dyDescent="0.25">
      <c r="B3211"/>
    </row>
    <row r="3212" spans="2:2" x14ac:dyDescent="0.25">
      <c r="B3212"/>
    </row>
    <row r="3213" spans="2:2" x14ac:dyDescent="0.25">
      <c r="B3213"/>
    </row>
    <row r="3214" spans="2:2" x14ac:dyDescent="0.25">
      <c r="B3214"/>
    </row>
    <row r="3215" spans="2:2" x14ac:dyDescent="0.25">
      <c r="B3215"/>
    </row>
    <row r="3216" spans="2:2" x14ac:dyDescent="0.25">
      <c r="B3216"/>
    </row>
    <row r="3217" spans="2:2" x14ac:dyDescent="0.25">
      <c r="B3217"/>
    </row>
    <row r="3218" spans="2:2" x14ac:dyDescent="0.25">
      <c r="B3218"/>
    </row>
    <row r="3219" spans="2:2" x14ac:dyDescent="0.25">
      <c r="B3219"/>
    </row>
    <row r="3220" spans="2:2" x14ac:dyDescent="0.25">
      <c r="B3220"/>
    </row>
    <row r="3221" spans="2:2" x14ac:dyDescent="0.25">
      <c r="B3221"/>
    </row>
    <row r="3222" spans="2:2" x14ac:dyDescent="0.25">
      <c r="B3222"/>
    </row>
    <row r="3223" spans="2:2" x14ac:dyDescent="0.25">
      <c r="B3223"/>
    </row>
    <row r="3224" spans="2:2" x14ac:dyDescent="0.25">
      <c r="B3224"/>
    </row>
    <row r="3225" spans="2:2" x14ac:dyDescent="0.25">
      <c r="B3225"/>
    </row>
    <row r="3226" spans="2:2" x14ac:dyDescent="0.25">
      <c r="B3226"/>
    </row>
    <row r="3227" spans="2:2" x14ac:dyDescent="0.25">
      <c r="B3227"/>
    </row>
    <row r="3228" spans="2:2" x14ac:dyDescent="0.25">
      <c r="B3228"/>
    </row>
    <row r="3229" spans="2:2" x14ac:dyDescent="0.25">
      <c r="B3229"/>
    </row>
    <row r="3230" spans="2:2" x14ac:dyDescent="0.25">
      <c r="B3230"/>
    </row>
    <row r="3231" spans="2:2" x14ac:dyDescent="0.25">
      <c r="B3231"/>
    </row>
    <row r="3232" spans="2:2" x14ac:dyDescent="0.25">
      <c r="B3232"/>
    </row>
    <row r="3233" spans="2:2" x14ac:dyDescent="0.25">
      <c r="B3233"/>
    </row>
    <row r="3234" spans="2:2" x14ac:dyDescent="0.25">
      <c r="B3234"/>
    </row>
    <row r="3235" spans="2:2" x14ac:dyDescent="0.25">
      <c r="B3235"/>
    </row>
    <row r="3236" spans="2:2" x14ac:dyDescent="0.25">
      <c r="B3236"/>
    </row>
    <row r="3237" spans="2:2" x14ac:dyDescent="0.25">
      <c r="B3237"/>
    </row>
    <row r="3238" spans="2:2" x14ac:dyDescent="0.25">
      <c r="B3238"/>
    </row>
    <row r="3239" spans="2:2" x14ac:dyDescent="0.25">
      <c r="B3239"/>
    </row>
    <row r="3240" spans="2:2" x14ac:dyDescent="0.25">
      <c r="B3240"/>
    </row>
    <row r="3241" spans="2:2" x14ac:dyDescent="0.25">
      <c r="B3241"/>
    </row>
    <row r="3242" spans="2:2" x14ac:dyDescent="0.25">
      <c r="B3242"/>
    </row>
    <row r="3243" spans="2:2" x14ac:dyDescent="0.25">
      <c r="B3243"/>
    </row>
    <row r="3244" spans="2:2" x14ac:dyDescent="0.25">
      <c r="B3244"/>
    </row>
    <row r="3245" spans="2:2" x14ac:dyDescent="0.25">
      <c r="B3245"/>
    </row>
    <row r="3246" spans="2:2" x14ac:dyDescent="0.25">
      <c r="B3246"/>
    </row>
    <row r="3247" spans="2:2" x14ac:dyDescent="0.25">
      <c r="B3247"/>
    </row>
    <row r="3248" spans="2:2" x14ac:dyDescent="0.25">
      <c r="B3248"/>
    </row>
    <row r="3249" spans="2:2" x14ac:dyDescent="0.25">
      <c r="B3249"/>
    </row>
    <row r="3250" spans="2:2" x14ac:dyDescent="0.25">
      <c r="B3250"/>
    </row>
    <row r="3251" spans="2:2" x14ac:dyDescent="0.25">
      <c r="B3251"/>
    </row>
    <row r="3252" spans="2:2" x14ac:dyDescent="0.25">
      <c r="B3252"/>
    </row>
    <row r="3253" spans="2:2" x14ac:dyDescent="0.25">
      <c r="B3253"/>
    </row>
    <row r="3254" spans="2:2" x14ac:dyDescent="0.25">
      <c r="B3254"/>
    </row>
    <row r="3255" spans="2:2" x14ac:dyDescent="0.25">
      <c r="B3255"/>
    </row>
    <row r="3256" spans="2:2" x14ac:dyDescent="0.25">
      <c r="B3256"/>
    </row>
    <row r="3257" spans="2:2" x14ac:dyDescent="0.25">
      <c r="B3257"/>
    </row>
    <row r="3258" spans="2:2" x14ac:dyDescent="0.25">
      <c r="B3258"/>
    </row>
    <row r="3259" spans="2:2" x14ac:dyDescent="0.25">
      <c r="B3259"/>
    </row>
    <row r="3260" spans="2:2" x14ac:dyDescent="0.25">
      <c r="B3260"/>
    </row>
    <row r="3261" spans="2:2" x14ac:dyDescent="0.25">
      <c r="B3261"/>
    </row>
    <row r="3262" spans="2:2" x14ac:dyDescent="0.25">
      <c r="B3262"/>
    </row>
    <row r="3263" spans="2:2" x14ac:dyDescent="0.25">
      <c r="B3263"/>
    </row>
    <row r="3264" spans="2:2" x14ac:dyDescent="0.25">
      <c r="B3264"/>
    </row>
    <row r="3265" spans="2:2" x14ac:dyDescent="0.25">
      <c r="B3265"/>
    </row>
    <row r="3266" spans="2:2" x14ac:dyDescent="0.25">
      <c r="B3266"/>
    </row>
    <row r="3267" spans="2:2" x14ac:dyDescent="0.25">
      <c r="B3267"/>
    </row>
    <row r="3268" spans="2:2" x14ac:dyDescent="0.25">
      <c r="B3268"/>
    </row>
    <row r="3269" spans="2:2" x14ac:dyDescent="0.25">
      <c r="B3269"/>
    </row>
    <row r="3270" spans="2:2" x14ac:dyDescent="0.25">
      <c r="B3270"/>
    </row>
    <row r="3271" spans="2:2" x14ac:dyDescent="0.25">
      <c r="B3271"/>
    </row>
    <row r="3272" spans="2:2" x14ac:dyDescent="0.25">
      <c r="B3272"/>
    </row>
    <row r="3273" spans="2:2" x14ac:dyDescent="0.25">
      <c r="B3273"/>
    </row>
    <row r="3274" spans="2:2" x14ac:dyDescent="0.25">
      <c r="B3274"/>
    </row>
    <row r="3275" spans="2:2" x14ac:dyDescent="0.25">
      <c r="B3275"/>
    </row>
    <row r="3276" spans="2:2" x14ac:dyDescent="0.25">
      <c r="B3276"/>
    </row>
    <row r="3277" spans="2:2" x14ac:dyDescent="0.25">
      <c r="B3277"/>
    </row>
    <row r="3278" spans="2:2" x14ac:dyDescent="0.25">
      <c r="B3278"/>
    </row>
    <row r="3279" spans="2:2" x14ac:dyDescent="0.25">
      <c r="B3279"/>
    </row>
    <row r="3280" spans="2:2" x14ac:dyDescent="0.25">
      <c r="B3280"/>
    </row>
    <row r="3281" spans="2:2" x14ac:dyDescent="0.25">
      <c r="B3281"/>
    </row>
    <row r="3282" spans="2:2" x14ac:dyDescent="0.25">
      <c r="B3282"/>
    </row>
    <row r="3283" spans="2:2" x14ac:dyDescent="0.25">
      <c r="B3283"/>
    </row>
    <row r="3284" spans="2:2" x14ac:dyDescent="0.25">
      <c r="B3284"/>
    </row>
    <row r="3285" spans="2:2" x14ac:dyDescent="0.25">
      <c r="B3285"/>
    </row>
    <row r="3286" spans="2:2" x14ac:dyDescent="0.25">
      <c r="B3286"/>
    </row>
    <row r="3287" spans="2:2" x14ac:dyDescent="0.25">
      <c r="B3287"/>
    </row>
    <row r="3288" spans="2:2" x14ac:dyDescent="0.25">
      <c r="B3288"/>
    </row>
    <row r="3289" spans="2:2" x14ac:dyDescent="0.25">
      <c r="B3289"/>
    </row>
    <row r="3290" spans="2:2" x14ac:dyDescent="0.25">
      <c r="B3290"/>
    </row>
    <row r="3291" spans="2:2" x14ac:dyDescent="0.25">
      <c r="B3291"/>
    </row>
    <row r="3292" spans="2:2" x14ac:dyDescent="0.25">
      <c r="B3292"/>
    </row>
    <row r="3293" spans="2:2" x14ac:dyDescent="0.25">
      <c r="B3293"/>
    </row>
    <row r="3294" spans="2:2" x14ac:dyDescent="0.25">
      <c r="B3294"/>
    </row>
    <row r="3295" spans="2:2" x14ac:dyDescent="0.25">
      <c r="B3295"/>
    </row>
    <row r="3296" spans="2:2" x14ac:dyDescent="0.25">
      <c r="B3296"/>
    </row>
    <row r="3297" spans="2:2" x14ac:dyDescent="0.25">
      <c r="B3297"/>
    </row>
    <row r="3298" spans="2:2" x14ac:dyDescent="0.25">
      <c r="B3298"/>
    </row>
    <row r="3299" spans="2:2" x14ac:dyDescent="0.25">
      <c r="B3299"/>
    </row>
    <row r="3300" spans="2:2" x14ac:dyDescent="0.25">
      <c r="B3300"/>
    </row>
    <row r="3301" spans="2:2" x14ac:dyDescent="0.25">
      <c r="B3301"/>
    </row>
    <row r="3302" spans="2:2" x14ac:dyDescent="0.25">
      <c r="B3302"/>
    </row>
    <row r="3303" spans="2:2" x14ac:dyDescent="0.25">
      <c r="B3303"/>
    </row>
    <row r="3304" spans="2:2" x14ac:dyDescent="0.25">
      <c r="B3304"/>
    </row>
    <row r="3305" spans="2:2" x14ac:dyDescent="0.25">
      <c r="B3305"/>
    </row>
    <row r="3306" spans="2:2" x14ac:dyDescent="0.25">
      <c r="B3306"/>
    </row>
    <row r="3307" spans="2:2" x14ac:dyDescent="0.25">
      <c r="B3307"/>
    </row>
    <row r="3308" spans="2:2" x14ac:dyDescent="0.25">
      <c r="B3308"/>
    </row>
    <row r="3309" spans="2:2" x14ac:dyDescent="0.25">
      <c r="B3309"/>
    </row>
    <row r="3310" spans="2:2" x14ac:dyDescent="0.25">
      <c r="B3310"/>
    </row>
    <row r="3311" spans="2:2" x14ac:dyDescent="0.25">
      <c r="B3311"/>
    </row>
    <row r="3312" spans="2:2" x14ac:dyDescent="0.25">
      <c r="B3312"/>
    </row>
    <row r="3313" spans="2:2" x14ac:dyDescent="0.25">
      <c r="B3313"/>
    </row>
    <row r="3314" spans="2:2" x14ac:dyDescent="0.25">
      <c r="B3314"/>
    </row>
    <row r="3315" spans="2:2" x14ac:dyDescent="0.25">
      <c r="B3315"/>
    </row>
    <row r="3316" spans="2:2" x14ac:dyDescent="0.25">
      <c r="B3316"/>
    </row>
    <row r="3317" spans="2:2" x14ac:dyDescent="0.25">
      <c r="B3317"/>
    </row>
    <row r="3318" spans="2:2" x14ac:dyDescent="0.25">
      <c r="B3318"/>
    </row>
    <row r="3319" spans="2:2" x14ac:dyDescent="0.25">
      <c r="B3319"/>
    </row>
    <row r="3320" spans="2:2" x14ac:dyDescent="0.25">
      <c r="B3320"/>
    </row>
    <row r="3321" spans="2:2" x14ac:dyDescent="0.25">
      <c r="B3321"/>
    </row>
    <row r="3322" spans="2:2" x14ac:dyDescent="0.25">
      <c r="B3322"/>
    </row>
    <row r="3323" spans="2:2" x14ac:dyDescent="0.25">
      <c r="B3323"/>
    </row>
    <row r="3324" spans="2:2" x14ac:dyDescent="0.25">
      <c r="B3324"/>
    </row>
    <row r="3325" spans="2:2" x14ac:dyDescent="0.25">
      <c r="B3325"/>
    </row>
    <row r="3326" spans="2:2" x14ac:dyDescent="0.25">
      <c r="B3326"/>
    </row>
    <row r="3327" spans="2:2" x14ac:dyDescent="0.25">
      <c r="B3327"/>
    </row>
    <row r="3328" spans="2:2" x14ac:dyDescent="0.25">
      <c r="B3328"/>
    </row>
    <row r="3329" spans="2:2" x14ac:dyDescent="0.25">
      <c r="B3329"/>
    </row>
    <row r="3330" spans="2:2" x14ac:dyDescent="0.25">
      <c r="B3330"/>
    </row>
    <row r="3331" spans="2:2" x14ac:dyDescent="0.25">
      <c r="B3331"/>
    </row>
    <row r="3332" spans="2:2" x14ac:dyDescent="0.25">
      <c r="B3332"/>
    </row>
    <row r="3333" spans="2:2" x14ac:dyDescent="0.25">
      <c r="B3333"/>
    </row>
    <row r="3334" spans="2:2" x14ac:dyDescent="0.25">
      <c r="B3334"/>
    </row>
    <row r="3335" spans="2:2" x14ac:dyDescent="0.25">
      <c r="B3335"/>
    </row>
    <row r="3336" spans="2:2" x14ac:dyDescent="0.25">
      <c r="B3336"/>
    </row>
    <row r="3337" spans="2:2" x14ac:dyDescent="0.25">
      <c r="B3337"/>
    </row>
    <row r="3338" spans="2:2" x14ac:dyDescent="0.25">
      <c r="B3338"/>
    </row>
    <row r="3339" spans="2:2" x14ac:dyDescent="0.25">
      <c r="B3339"/>
    </row>
    <row r="3340" spans="2:2" x14ac:dyDescent="0.25">
      <c r="B3340"/>
    </row>
    <row r="3341" spans="2:2" x14ac:dyDescent="0.25">
      <c r="B3341"/>
    </row>
    <row r="3342" spans="2:2" x14ac:dyDescent="0.25">
      <c r="B3342"/>
    </row>
    <row r="3343" spans="2:2" x14ac:dyDescent="0.25">
      <c r="B3343"/>
    </row>
    <row r="3344" spans="2:2" x14ac:dyDescent="0.25">
      <c r="B3344"/>
    </row>
    <row r="3345" spans="2:2" x14ac:dyDescent="0.25">
      <c r="B3345"/>
    </row>
    <row r="3346" spans="2:2" x14ac:dyDescent="0.25">
      <c r="B3346"/>
    </row>
    <row r="3347" spans="2:2" x14ac:dyDescent="0.25">
      <c r="B3347"/>
    </row>
    <row r="3348" spans="2:2" x14ac:dyDescent="0.25">
      <c r="B3348"/>
    </row>
    <row r="3349" spans="2:2" x14ac:dyDescent="0.25">
      <c r="B3349"/>
    </row>
    <row r="3350" spans="2:2" x14ac:dyDescent="0.25">
      <c r="B3350"/>
    </row>
    <row r="3351" spans="2:2" x14ac:dyDescent="0.25">
      <c r="B3351"/>
    </row>
    <row r="3352" spans="2:2" x14ac:dyDescent="0.25">
      <c r="B3352"/>
    </row>
    <row r="3353" spans="2:2" x14ac:dyDescent="0.25">
      <c r="B3353"/>
    </row>
    <row r="3354" spans="2:2" x14ac:dyDescent="0.25">
      <c r="B3354"/>
    </row>
    <row r="3355" spans="2:2" x14ac:dyDescent="0.25">
      <c r="B3355"/>
    </row>
    <row r="3356" spans="2:2" x14ac:dyDescent="0.25">
      <c r="B3356"/>
    </row>
    <row r="3357" spans="2:2" x14ac:dyDescent="0.25">
      <c r="B3357"/>
    </row>
    <row r="3358" spans="2:2" x14ac:dyDescent="0.25">
      <c r="B3358"/>
    </row>
    <row r="3359" spans="2:2" x14ac:dyDescent="0.25">
      <c r="B3359"/>
    </row>
    <row r="3360" spans="2:2" x14ac:dyDescent="0.25">
      <c r="B3360"/>
    </row>
    <row r="3361" spans="2:2" x14ac:dyDescent="0.25">
      <c r="B3361"/>
    </row>
    <row r="3362" spans="2:2" x14ac:dyDescent="0.25">
      <c r="B3362"/>
    </row>
    <row r="3363" spans="2:2" x14ac:dyDescent="0.25">
      <c r="B3363"/>
    </row>
    <row r="3364" spans="2:2" x14ac:dyDescent="0.25">
      <c r="B3364"/>
    </row>
    <row r="3365" spans="2:2" x14ac:dyDescent="0.25">
      <c r="B3365"/>
    </row>
    <row r="3366" spans="2:2" x14ac:dyDescent="0.25">
      <c r="B3366"/>
    </row>
    <row r="3367" spans="2:2" x14ac:dyDescent="0.25">
      <c r="B3367"/>
    </row>
    <row r="3368" spans="2:2" x14ac:dyDescent="0.25">
      <c r="B3368"/>
    </row>
    <row r="3369" spans="2:2" x14ac:dyDescent="0.25">
      <c r="B3369"/>
    </row>
    <row r="3370" spans="2:2" x14ac:dyDescent="0.25">
      <c r="B3370"/>
    </row>
    <row r="3371" spans="2:2" x14ac:dyDescent="0.25">
      <c r="B3371"/>
    </row>
    <row r="3372" spans="2:2" x14ac:dyDescent="0.25">
      <c r="B3372"/>
    </row>
    <row r="3373" spans="2:2" x14ac:dyDescent="0.25">
      <c r="B3373"/>
    </row>
    <row r="3374" spans="2:2" x14ac:dyDescent="0.25">
      <c r="B3374"/>
    </row>
    <row r="3375" spans="2:2" x14ac:dyDescent="0.25">
      <c r="B3375"/>
    </row>
    <row r="3376" spans="2:2" x14ac:dyDescent="0.25">
      <c r="B3376"/>
    </row>
    <row r="3377" spans="2:2" x14ac:dyDescent="0.25">
      <c r="B3377"/>
    </row>
    <row r="3378" spans="2:2" x14ac:dyDescent="0.25">
      <c r="B3378"/>
    </row>
    <row r="3379" spans="2:2" x14ac:dyDescent="0.25">
      <c r="B3379"/>
    </row>
    <row r="3380" spans="2:2" x14ac:dyDescent="0.25">
      <c r="B3380"/>
    </row>
    <row r="3381" spans="2:2" x14ac:dyDescent="0.25">
      <c r="B3381"/>
    </row>
    <row r="3382" spans="2:2" x14ac:dyDescent="0.25">
      <c r="B3382"/>
    </row>
    <row r="3383" spans="2:2" x14ac:dyDescent="0.25">
      <c r="B3383"/>
    </row>
    <row r="3384" spans="2:2" x14ac:dyDescent="0.25">
      <c r="B3384"/>
    </row>
    <row r="3385" spans="2:2" x14ac:dyDescent="0.25">
      <c r="B3385"/>
    </row>
    <row r="3386" spans="2:2" x14ac:dyDescent="0.25">
      <c r="B3386"/>
    </row>
    <row r="3387" spans="2:2" x14ac:dyDescent="0.25">
      <c r="B3387"/>
    </row>
    <row r="3388" spans="2:2" x14ac:dyDescent="0.25">
      <c r="B3388"/>
    </row>
    <row r="3389" spans="2:2" x14ac:dyDescent="0.25">
      <c r="B3389"/>
    </row>
    <row r="3390" spans="2:2" x14ac:dyDescent="0.25">
      <c r="B3390"/>
    </row>
    <row r="3391" spans="2:2" x14ac:dyDescent="0.25">
      <c r="B3391"/>
    </row>
    <row r="3392" spans="2:2" x14ac:dyDescent="0.25">
      <c r="B3392"/>
    </row>
    <row r="3393" spans="2:2" x14ac:dyDescent="0.25">
      <c r="B3393"/>
    </row>
    <row r="3394" spans="2:2" x14ac:dyDescent="0.25">
      <c r="B3394"/>
    </row>
    <row r="3395" spans="2:2" x14ac:dyDescent="0.25">
      <c r="B3395"/>
    </row>
    <row r="3396" spans="2:2" x14ac:dyDescent="0.25">
      <c r="B3396"/>
    </row>
    <row r="3397" spans="2:2" x14ac:dyDescent="0.25">
      <c r="B3397"/>
    </row>
    <row r="3398" spans="2:2" x14ac:dyDescent="0.25">
      <c r="B3398"/>
    </row>
    <row r="3399" spans="2:2" x14ac:dyDescent="0.25">
      <c r="B3399"/>
    </row>
    <row r="3400" spans="2:2" x14ac:dyDescent="0.25">
      <c r="B3400"/>
    </row>
    <row r="3401" spans="2:2" x14ac:dyDescent="0.25">
      <c r="B3401"/>
    </row>
    <row r="3402" spans="2:2" x14ac:dyDescent="0.25">
      <c r="B3402"/>
    </row>
    <row r="3403" spans="2:2" x14ac:dyDescent="0.25">
      <c r="B3403"/>
    </row>
    <row r="3404" spans="2:2" x14ac:dyDescent="0.25">
      <c r="B3404"/>
    </row>
    <row r="3405" spans="2:2" x14ac:dyDescent="0.25">
      <c r="B3405"/>
    </row>
    <row r="3406" spans="2:2" x14ac:dyDescent="0.25">
      <c r="B3406"/>
    </row>
    <row r="3407" spans="2:2" x14ac:dyDescent="0.25">
      <c r="B3407"/>
    </row>
    <row r="3408" spans="2:2" x14ac:dyDescent="0.25">
      <c r="B3408"/>
    </row>
    <row r="3409" spans="2:2" x14ac:dyDescent="0.25">
      <c r="B3409"/>
    </row>
    <row r="3410" spans="2:2" x14ac:dyDescent="0.25">
      <c r="B3410"/>
    </row>
    <row r="3411" spans="2:2" x14ac:dyDescent="0.25">
      <c r="B3411"/>
    </row>
    <row r="3412" spans="2:2" x14ac:dyDescent="0.25">
      <c r="B3412"/>
    </row>
    <row r="3413" spans="2:2" x14ac:dyDescent="0.25">
      <c r="B3413"/>
    </row>
    <row r="3414" spans="2:2" x14ac:dyDescent="0.25">
      <c r="B3414"/>
    </row>
    <row r="3415" spans="2:2" x14ac:dyDescent="0.25">
      <c r="B3415"/>
    </row>
    <row r="3416" spans="2:2" x14ac:dyDescent="0.25">
      <c r="B3416"/>
    </row>
    <row r="3417" spans="2:2" x14ac:dyDescent="0.25">
      <c r="B3417"/>
    </row>
    <row r="3418" spans="2:2" x14ac:dyDescent="0.25">
      <c r="B3418"/>
    </row>
    <row r="3419" spans="2:2" x14ac:dyDescent="0.25">
      <c r="B3419"/>
    </row>
    <row r="3420" spans="2:2" x14ac:dyDescent="0.25">
      <c r="B3420"/>
    </row>
    <row r="3421" spans="2:2" x14ac:dyDescent="0.25">
      <c r="B3421"/>
    </row>
    <row r="3422" spans="2:2" x14ac:dyDescent="0.25">
      <c r="B3422"/>
    </row>
    <row r="3423" spans="2:2" x14ac:dyDescent="0.25">
      <c r="B3423"/>
    </row>
    <row r="3424" spans="2:2" x14ac:dyDescent="0.25">
      <c r="B3424"/>
    </row>
    <row r="3425" spans="2:2" x14ac:dyDescent="0.25">
      <c r="B3425"/>
    </row>
    <row r="3426" spans="2:2" x14ac:dyDescent="0.25">
      <c r="B3426"/>
    </row>
    <row r="3427" spans="2:2" x14ac:dyDescent="0.25">
      <c r="B3427"/>
    </row>
    <row r="3428" spans="2:2" x14ac:dyDescent="0.25">
      <c r="B3428"/>
    </row>
    <row r="3429" spans="2:2" x14ac:dyDescent="0.25">
      <c r="B3429"/>
    </row>
    <row r="3430" spans="2:2" x14ac:dyDescent="0.25">
      <c r="B3430"/>
    </row>
    <row r="3431" spans="2:2" x14ac:dyDescent="0.25">
      <c r="B3431"/>
    </row>
    <row r="3432" spans="2:2" x14ac:dyDescent="0.25">
      <c r="B3432"/>
    </row>
    <row r="3433" spans="2:2" x14ac:dyDescent="0.25">
      <c r="B3433"/>
    </row>
    <row r="3434" spans="2:2" x14ac:dyDescent="0.25">
      <c r="B3434"/>
    </row>
    <row r="3435" spans="2:2" x14ac:dyDescent="0.25">
      <c r="B3435"/>
    </row>
    <row r="3436" spans="2:2" x14ac:dyDescent="0.25">
      <c r="B3436"/>
    </row>
    <row r="3437" spans="2:2" x14ac:dyDescent="0.25">
      <c r="B3437"/>
    </row>
    <row r="3438" spans="2:2" x14ac:dyDescent="0.25">
      <c r="B3438"/>
    </row>
    <row r="3439" spans="2:2" x14ac:dyDescent="0.25">
      <c r="B3439"/>
    </row>
    <row r="3440" spans="2:2" x14ac:dyDescent="0.25">
      <c r="B3440"/>
    </row>
    <row r="3441" spans="2:2" x14ac:dyDescent="0.25">
      <c r="B3441"/>
    </row>
    <row r="3442" spans="2:2" x14ac:dyDescent="0.25">
      <c r="B3442"/>
    </row>
    <row r="3443" spans="2:2" x14ac:dyDescent="0.25">
      <c r="B3443"/>
    </row>
    <row r="3444" spans="2:2" x14ac:dyDescent="0.25">
      <c r="B3444"/>
    </row>
    <row r="3445" spans="2:2" x14ac:dyDescent="0.25">
      <c r="B3445"/>
    </row>
    <row r="3446" spans="2:2" x14ac:dyDescent="0.25">
      <c r="B3446"/>
    </row>
    <row r="3447" spans="2:2" x14ac:dyDescent="0.25">
      <c r="B3447"/>
    </row>
    <row r="3448" spans="2:2" x14ac:dyDescent="0.25">
      <c r="B3448"/>
    </row>
    <row r="3449" spans="2:2" x14ac:dyDescent="0.25">
      <c r="B3449"/>
    </row>
    <row r="3450" spans="2:2" x14ac:dyDescent="0.25">
      <c r="B3450"/>
    </row>
    <row r="3451" spans="2:2" x14ac:dyDescent="0.25">
      <c r="B3451"/>
    </row>
    <row r="3452" spans="2:2" x14ac:dyDescent="0.25">
      <c r="B3452"/>
    </row>
    <row r="3453" spans="2:2" x14ac:dyDescent="0.25">
      <c r="B3453"/>
    </row>
    <row r="3454" spans="2:2" x14ac:dyDescent="0.25">
      <c r="B3454"/>
    </row>
    <row r="3455" spans="2:2" x14ac:dyDescent="0.25">
      <c r="B3455"/>
    </row>
    <row r="3456" spans="2:2" x14ac:dyDescent="0.25">
      <c r="B3456"/>
    </row>
    <row r="3457" spans="2:2" x14ac:dyDescent="0.25">
      <c r="B3457"/>
    </row>
    <row r="3458" spans="2:2" x14ac:dyDescent="0.25">
      <c r="B3458"/>
    </row>
    <row r="3459" spans="2:2" x14ac:dyDescent="0.25">
      <c r="B3459"/>
    </row>
    <row r="3460" spans="2:2" x14ac:dyDescent="0.25">
      <c r="B3460"/>
    </row>
    <row r="3461" spans="2:2" x14ac:dyDescent="0.25">
      <c r="B3461"/>
    </row>
    <row r="3462" spans="2:2" x14ac:dyDescent="0.25">
      <c r="B3462"/>
    </row>
    <row r="3463" spans="2:2" x14ac:dyDescent="0.25">
      <c r="B3463"/>
    </row>
    <row r="3464" spans="2:2" x14ac:dyDescent="0.25">
      <c r="B3464"/>
    </row>
    <row r="3465" spans="2:2" x14ac:dyDescent="0.25">
      <c r="B3465"/>
    </row>
    <row r="3466" spans="2:2" x14ac:dyDescent="0.25">
      <c r="B3466"/>
    </row>
    <row r="3467" spans="2:2" x14ac:dyDescent="0.25">
      <c r="B3467"/>
    </row>
    <row r="3468" spans="2:2" x14ac:dyDescent="0.25">
      <c r="B3468"/>
    </row>
    <row r="3469" spans="2:2" x14ac:dyDescent="0.25">
      <c r="B3469"/>
    </row>
    <row r="3470" spans="2:2" x14ac:dyDescent="0.25">
      <c r="B3470"/>
    </row>
    <row r="3471" spans="2:2" x14ac:dyDescent="0.25">
      <c r="B3471"/>
    </row>
    <row r="3472" spans="2:2" x14ac:dyDescent="0.25">
      <c r="B3472"/>
    </row>
    <row r="3473" spans="2:2" x14ac:dyDescent="0.25">
      <c r="B3473"/>
    </row>
    <row r="3474" spans="2:2" x14ac:dyDescent="0.25">
      <c r="B3474"/>
    </row>
    <row r="3475" spans="2:2" x14ac:dyDescent="0.25">
      <c r="B3475"/>
    </row>
    <row r="3476" spans="2:2" x14ac:dyDescent="0.25">
      <c r="B3476"/>
    </row>
    <row r="3477" spans="2:2" x14ac:dyDescent="0.25">
      <c r="B3477"/>
    </row>
    <row r="3478" spans="2:2" x14ac:dyDescent="0.25">
      <c r="B3478"/>
    </row>
    <row r="3479" spans="2:2" x14ac:dyDescent="0.25">
      <c r="B3479"/>
    </row>
    <row r="3480" spans="2:2" x14ac:dyDescent="0.25">
      <c r="B3480"/>
    </row>
    <row r="3481" spans="2:2" x14ac:dyDescent="0.25">
      <c r="B3481"/>
    </row>
    <row r="3482" spans="2:2" x14ac:dyDescent="0.25">
      <c r="B3482"/>
    </row>
    <row r="3483" spans="2:2" x14ac:dyDescent="0.25">
      <c r="B3483"/>
    </row>
    <row r="3484" spans="2:2" x14ac:dyDescent="0.25">
      <c r="B3484"/>
    </row>
    <row r="3485" spans="2:2" x14ac:dyDescent="0.25">
      <c r="B3485"/>
    </row>
    <row r="3486" spans="2:2" x14ac:dyDescent="0.25">
      <c r="B3486"/>
    </row>
    <row r="3487" spans="2:2" x14ac:dyDescent="0.25">
      <c r="B3487"/>
    </row>
    <row r="3488" spans="2:2" x14ac:dyDescent="0.25">
      <c r="B3488"/>
    </row>
    <row r="3489" spans="2:2" x14ac:dyDescent="0.25">
      <c r="B3489"/>
    </row>
    <row r="3490" spans="2:2" x14ac:dyDescent="0.25">
      <c r="B3490"/>
    </row>
    <row r="3491" spans="2:2" x14ac:dyDescent="0.25">
      <c r="B3491"/>
    </row>
    <row r="3492" spans="2:2" x14ac:dyDescent="0.25">
      <c r="B3492"/>
    </row>
    <row r="3493" spans="2:2" x14ac:dyDescent="0.25">
      <c r="B3493"/>
    </row>
    <row r="3494" spans="2:2" x14ac:dyDescent="0.25">
      <c r="B3494"/>
    </row>
    <row r="3495" spans="2:2" x14ac:dyDescent="0.25">
      <c r="B3495"/>
    </row>
    <row r="3496" spans="2:2" x14ac:dyDescent="0.25">
      <c r="B3496"/>
    </row>
    <row r="3497" spans="2:2" x14ac:dyDescent="0.25">
      <c r="B3497"/>
    </row>
    <row r="3498" spans="2:2" x14ac:dyDescent="0.25">
      <c r="B3498"/>
    </row>
    <row r="3499" spans="2:2" x14ac:dyDescent="0.25">
      <c r="B3499"/>
    </row>
    <row r="3500" spans="2:2" x14ac:dyDescent="0.25">
      <c r="B3500"/>
    </row>
    <row r="3501" spans="2:2" x14ac:dyDescent="0.25">
      <c r="B3501"/>
    </row>
    <row r="3502" spans="2:2" x14ac:dyDescent="0.25">
      <c r="B3502"/>
    </row>
    <row r="3503" spans="2:2" x14ac:dyDescent="0.25">
      <c r="B3503"/>
    </row>
    <row r="3504" spans="2:2" x14ac:dyDescent="0.25">
      <c r="B3504"/>
    </row>
    <row r="3505" spans="2:2" x14ac:dyDescent="0.25">
      <c r="B3505"/>
    </row>
    <row r="3506" spans="2:2" x14ac:dyDescent="0.25">
      <c r="B3506"/>
    </row>
    <row r="3507" spans="2:2" x14ac:dyDescent="0.25">
      <c r="B3507"/>
    </row>
    <row r="3508" spans="2:2" x14ac:dyDescent="0.25">
      <c r="B3508"/>
    </row>
    <row r="3509" spans="2:2" x14ac:dyDescent="0.25">
      <c r="B3509"/>
    </row>
    <row r="3510" spans="2:2" x14ac:dyDescent="0.25">
      <c r="B3510"/>
    </row>
    <row r="3511" spans="2:2" x14ac:dyDescent="0.25">
      <c r="B3511"/>
    </row>
    <row r="3512" spans="2:2" x14ac:dyDescent="0.25">
      <c r="B3512"/>
    </row>
    <row r="3513" spans="2:2" x14ac:dyDescent="0.25">
      <c r="B3513"/>
    </row>
    <row r="3514" spans="2:2" x14ac:dyDescent="0.25">
      <c r="B3514"/>
    </row>
    <row r="3515" spans="2:2" x14ac:dyDescent="0.25">
      <c r="B3515"/>
    </row>
    <row r="3516" spans="2:2" x14ac:dyDescent="0.25">
      <c r="B3516"/>
    </row>
    <row r="3517" spans="2:2" x14ac:dyDescent="0.25">
      <c r="B3517"/>
    </row>
    <row r="3518" spans="2:2" x14ac:dyDescent="0.25">
      <c r="B3518"/>
    </row>
    <row r="3519" spans="2:2" x14ac:dyDescent="0.25">
      <c r="B3519"/>
    </row>
    <row r="3520" spans="2:2" x14ac:dyDescent="0.25">
      <c r="B3520"/>
    </row>
    <row r="3521" spans="2:2" x14ac:dyDescent="0.25">
      <c r="B3521"/>
    </row>
    <row r="3522" spans="2:2" x14ac:dyDescent="0.25">
      <c r="B3522"/>
    </row>
    <row r="3523" spans="2:2" x14ac:dyDescent="0.25">
      <c r="B3523"/>
    </row>
    <row r="3524" spans="2:2" x14ac:dyDescent="0.25">
      <c r="B3524"/>
    </row>
    <row r="3525" spans="2:2" x14ac:dyDescent="0.25">
      <c r="B3525"/>
    </row>
    <row r="3526" spans="2:2" x14ac:dyDescent="0.25">
      <c r="B3526"/>
    </row>
    <row r="3527" spans="2:2" x14ac:dyDescent="0.25">
      <c r="B3527"/>
    </row>
    <row r="3528" spans="2:2" x14ac:dyDescent="0.25">
      <c r="B3528"/>
    </row>
    <row r="3529" spans="2:2" x14ac:dyDescent="0.25">
      <c r="B3529"/>
    </row>
    <row r="3530" spans="2:2" x14ac:dyDescent="0.25">
      <c r="B3530"/>
    </row>
    <row r="3531" spans="2:2" x14ac:dyDescent="0.25">
      <c r="B3531"/>
    </row>
    <row r="3532" spans="2:2" x14ac:dyDescent="0.25">
      <c r="B3532"/>
    </row>
    <row r="3533" spans="2:2" x14ac:dyDescent="0.25">
      <c r="B3533"/>
    </row>
    <row r="3534" spans="2:2" x14ac:dyDescent="0.25">
      <c r="B3534"/>
    </row>
    <row r="3535" spans="2:2" x14ac:dyDescent="0.25">
      <c r="B3535"/>
    </row>
    <row r="3536" spans="2:2" x14ac:dyDescent="0.25">
      <c r="B3536"/>
    </row>
    <row r="3537" spans="2:2" x14ac:dyDescent="0.25">
      <c r="B3537"/>
    </row>
    <row r="3538" spans="2:2" x14ac:dyDescent="0.25">
      <c r="B3538"/>
    </row>
    <row r="3539" spans="2:2" x14ac:dyDescent="0.25">
      <c r="B3539"/>
    </row>
    <row r="3540" spans="2:2" x14ac:dyDescent="0.25">
      <c r="B3540"/>
    </row>
    <row r="3541" spans="2:2" x14ac:dyDescent="0.25">
      <c r="B3541"/>
    </row>
    <row r="3542" spans="2:2" x14ac:dyDescent="0.25">
      <c r="B3542"/>
    </row>
    <row r="3543" spans="2:2" x14ac:dyDescent="0.25">
      <c r="B3543"/>
    </row>
    <row r="3544" spans="2:2" x14ac:dyDescent="0.25">
      <c r="B3544"/>
    </row>
    <row r="3545" spans="2:2" x14ac:dyDescent="0.25">
      <c r="B3545"/>
    </row>
    <row r="3546" spans="2:2" x14ac:dyDescent="0.25">
      <c r="B3546"/>
    </row>
    <row r="3547" spans="2:2" x14ac:dyDescent="0.25">
      <c r="B3547"/>
    </row>
    <row r="3548" spans="2:2" x14ac:dyDescent="0.25">
      <c r="B3548"/>
    </row>
    <row r="3549" spans="2:2" x14ac:dyDescent="0.25">
      <c r="B3549"/>
    </row>
    <row r="3550" spans="2:2" x14ac:dyDescent="0.25">
      <c r="B3550"/>
    </row>
    <row r="3551" spans="2:2" x14ac:dyDescent="0.25">
      <c r="B3551"/>
    </row>
    <row r="3552" spans="2:2" x14ac:dyDescent="0.25">
      <c r="B3552"/>
    </row>
    <row r="3553" spans="2:2" x14ac:dyDescent="0.25">
      <c r="B3553"/>
    </row>
    <row r="3554" spans="2:2" x14ac:dyDescent="0.25">
      <c r="B3554"/>
    </row>
    <row r="3555" spans="2:2" x14ac:dyDescent="0.25">
      <c r="B3555"/>
    </row>
    <row r="3556" spans="2:2" x14ac:dyDescent="0.25">
      <c r="B3556"/>
    </row>
    <row r="3557" spans="2:2" x14ac:dyDescent="0.25">
      <c r="B3557"/>
    </row>
    <row r="3558" spans="2:2" x14ac:dyDescent="0.25">
      <c r="B3558"/>
    </row>
    <row r="3559" spans="2:2" x14ac:dyDescent="0.25">
      <c r="B3559"/>
    </row>
    <row r="3560" spans="2:2" x14ac:dyDescent="0.25">
      <c r="B3560"/>
    </row>
    <row r="3561" spans="2:2" x14ac:dyDescent="0.25">
      <c r="B3561"/>
    </row>
    <row r="3562" spans="2:2" x14ac:dyDescent="0.25">
      <c r="B3562"/>
    </row>
    <row r="3563" spans="2:2" x14ac:dyDescent="0.25">
      <c r="B3563"/>
    </row>
    <row r="3564" spans="2:2" x14ac:dyDescent="0.25">
      <c r="B3564"/>
    </row>
    <row r="3565" spans="2:2" x14ac:dyDescent="0.25">
      <c r="B3565"/>
    </row>
    <row r="3566" spans="2:2" x14ac:dyDescent="0.25">
      <c r="B3566"/>
    </row>
    <row r="3567" spans="2:2" x14ac:dyDescent="0.25">
      <c r="B3567"/>
    </row>
    <row r="3568" spans="2:2" x14ac:dyDescent="0.25">
      <c r="B3568"/>
    </row>
    <row r="3569" spans="2:2" x14ac:dyDescent="0.25">
      <c r="B3569"/>
    </row>
    <row r="3570" spans="2:2" x14ac:dyDescent="0.25">
      <c r="B3570"/>
    </row>
    <row r="3571" spans="2:2" x14ac:dyDescent="0.25">
      <c r="B3571"/>
    </row>
    <row r="3572" spans="2:2" x14ac:dyDescent="0.25">
      <c r="B3572"/>
    </row>
    <row r="3573" spans="2:2" x14ac:dyDescent="0.25">
      <c r="B3573"/>
    </row>
    <row r="3574" spans="2:2" x14ac:dyDescent="0.25">
      <c r="B3574"/>
    </row>
    <row r="3575" spans="2:2" x14ac:dyDescent="0.25">
      <c r="B3575"/>
    </row>
    <row r="3576" spans="2:2" x14ac:dyDescent="0.25">
      <c r="B3576"/>
    </row>
    <row r="3577" spans="2:2" x14ac:dyDescent="0.25">
      <c r="B3577"/>
    </row>
    <row r="3578" spans="2:2" x14ac:dyDescent="0.25">
      <c r="B3578"/>
    </row>
    <row r="3579" spans="2:2" x14ac:dyDescent="0.25">
      <c r="B3579"/>
    </row>
    <row r="3580" spans="2:2" x14ac:dyDescent="0.25">
      <c r="B3580"/>
    </row>
    <row r="3581" spans="2:2" x14ac:dyDescent="0.25">
      <c r="B3581"/>
    </row>
    <row r="3582" spans="2:2" x14ac:dyDescent="0.25">
      <c r="B3582"/>
    </row>
    <row r="3583" spans="2:2" x14ac:dyDescent="0.25">
      <c r="B3583"/>
    </row>
    <row r="3584" spans="2:2" x14ac:dyDescent="0.25">
      <c r="B3584"/>
    </row>
    <row r="3585" spans="2:2" x14ac:dyDescent="0.25">
      <c r="B3585"/>
    </row>
    <row r="3586" spans="2:2" x14ac:dyDescent="0.25">
      <c r="B3586"/>
    </row>
    <row r="3587" spans="2:2" x14ac:dyDescent="0.25">
      <c r="B3587"/>
    </row>
    <row r="3588" spans="2:2" x14ac:dyDescent="0.25">
      <c r="B3588"/>
    </row>
    <row r="3589" spans="2:2" x14ac:dyDescent="0.25">
      <c r="B3589"/>
    </row>
    <row r="3590" spans="2:2" x14ac:dyDescent="0.25">
      <c r="B3590"/>
    </row>
    <row r="3591" spans="2:2" x14ac:dyDescent="0.25">
      <c r="B3591"/>
    </row>
    <row r="3592" spans="2:2" x14ac:dyDescent="0.25">
      <c r="B3592"/>
    </row>
    <row r="3593" spans="2:2" x14ac:dyDescent="0.25">
      <c r="B3593"/>
    </row>
    <row r="3594" spans="2:2" x14ac:dyDescent="0.25">
      <c r="B3594"/>
    </row>
    <row r="3595" spans="2:2" x14ac:dyDescent="0.25">
      <c r="B3595"/>
    </row>
    <row r="3596" spans="2:2" x14ac:dyDescent="0.25">
      <c r="B3596"/>
    </row>
    <row r="3597" spans="2:2" x14ac:dyDescent="0.25">
      <c r="B3597"/>
    </row>
    <row r="3598" spans="2:2" x14ac:dyDescent="0.25">
      <c r="B3598"/>
    </row>
    <row r="3599" spans="2:2" x14ac:dyDescent="0.25">
      <c r="B3599"/>
    </row>
    <row r="3600" spans="2:2" x14ac:dyDescent="0.25">
      <c r="B3600"/>
    </row>
    <row r="3601" spans="2:2" x14ac:dyDescent="0.25">
      <c r="B3601"/>
    </row>
    <row r="3602" spans="2:2" x14ac:dyDescent="0.25">
      <c r="B3602"/>
    </row>
    <row r="3603" spans="2:2" x14ac:dyDescent="0.25">
      <c r="B3603"/>
    </row>
    <row r="3604" spans="2:2" x14ac:dyDescent="0.25">
      <c r="B3604"/>
    </row>
    <row r="3605" spans="2:2" x14ac:dyDescent="0.25">
      <c r="B3605"/>
    </row>
    <row r="3606" spans="2:2" x14ac:dyDescent="0.25">
      <c r="B3606"/>
    </row>
    <row r="3607" spans="2:2" x14ac:dyDescent="0.25">
      <c r="B3607"/>
    </row>
    <row r="3608" spans="2:2" x14ac:dyDescent="0.25">
      <c r="B3608"/>
    </row>
    <row r="3609" spans="2:2" x14ac:dyDescent="0.25">
      <c r="B3609"/>
    </row>
    <row r="3610" spans="2:2" x14ac:dyDescent="0.25">
      <c r="B3610"/>
    </row>
    <row r="3611" spans="2:2" x14ac:dyDescent="0.25">
      <c r="B3611"/>
    </row>
    <row r="3612" spans="2:2" x14ac:dyDescent="0.25">
      <c r="B3612"/>
    </row>
    <row r="3613" spans="2:2" x14ac:dyDescent="0.25">
      <c r="B3613"/>
    </row>
    <row r="3614" spans="2:2" x14ac:dyDescent="0.25">
      <c r="B3614"/>
    </row>
    <row r="3615" spans="2:2" x14ac:dyDescent="0.25">
      <c r="B3615"/>
    </row>
    <row r="3616" spans="2:2" x14ac:dyDescent="0.25">
      <c r="B3616"/>
    </row>
    <row r="3617" spans="2:2" x14ac:dyDescent="0.25">
      <c r="B3617"/>
    </row>
    <row r="3618" spans="2:2" x14ac:dyDescent="0.25">
      <c r="B3618"/>
    </row>
    <row r="3619" spans="2:2" x14ac:dyDescent="0.25">
      <c r="B3619"/>
    </row>
    <row r="3620" spans="2:2" x14ac:dyDescent="0.25">
      <c r="B3620"/>
    </row>
    <row r="3621" spans="2:2" x14ac:dyDescent="0.25">
      <c r="B3621"/>
    </row>
    <row r="3622" spans="2:2" x14ac:dyDescent="0.25">
      <c r="B3622"/>
    </row>
    <row r="3623" spans="2:2" x14ac:dyDescent="0.25">
      <c r="B3623"/>
    </row>
    <row r="3624" spans="2:2" x14ac:dyDescent="0.25">
      <c r="B3624"/>
    </row>
    <row r="3625" spans="2:2" x14ac:dyDescent="0.25">
      <c r="B3625"/>
    </row>
    <row r="3626" spans="2:2" x14ac:dyDescent="0.25">
      <c r="B3626"/>
    </row>
    <row r="3627" spans="2:2" x14ac:dyDescent="0.25">
      <c r="B3627"/>
    </row>
    <row r="3628" spans="2:2" x14ac:dyDescent="0.25">
      <c r="B3628"/>
    </row>
    <row r="3629" spans="2:2" x14ac:dyDescent="0.25">
      <c r="B3629"/>
    </row>
    <row r="3630" spans="2:2" x14ac:dyDescent="0.25">
      <c r="B3630"/>
    </row>
    <row r="3631" spans="2:2" x14ac:dyDescent="0.25">
      <c r="B3631"/>
    </row>
    <row r="3632" spans="2:2" x14ac:dyDescent="0.25">
      <c r="B3632"/>
    </row>
    <row r="3633" spans="2:2" x14ac:dyDescent="0.25">
      <c r="B3633"/>
    </row>
    <row r="3634" spans="2:2" x14ac:dyDescent="0.25">
      <c r="B3634"/>
    </row>
    <row r="3635" spans="2:2" x14ac:dyDescent="0.25">
      <c r="B3635"/>
    </row>
    <row r="3636" spans="2:2" x14ac:dyDescent="0.25">
      <c r="B3636"/>
    </row>
    <row r="3637" spans="2:2" x14ac:dyDescent="0.25">
      <c r="B3637"/>
    </row>
    <row r="3638" spans="2:2" x14ac:dyDescent="0.25">
      <c r="B3638"/>
    </row>
    <row r="3639" spans="2:2" x14ac:dyDescent="0.25">
      <c r="B3639"/>
    </row>
    <row r="3640" spans="2:2" x14ac:dyDescent="0.25">
      <c r="B3640"/>
    </row>
    <row r="3641" spans="2:2" x14ac:dyDescent="0.25">
      <c r="B3641"/>
    </row>
    <row r="3642" spans="2:2" x14ac:dyDescent="0.25">
      <c r="B3642"/>
    </row>
    <row r="3643" spans="2:2" x14ac:dyDescent="0.25">
      <c r="B3643"/>
    </row>
    <row r="3644" spans="2:2" x14ac:dyDescent="0.25">
      <c r="B3644"/>
    </row>
    <row r="3645" spans="2:2" x14ac:dyDescent="0.25">
      <c r="B3645"/>
    </row>
    <row r="3646" spans="2:2" x14ac:dyDescent="0.25">
      <c r="B3646"/>
    </row>
    <row r="3647" spans="2:2" x14ac:dyDescent="0.25">
      <c r="B3647"/>
    </row>
    <row r="3648" spans="2:2" x14ac:dyDescent="0.25">
      <c r="B3648"/>
    </row>
    <row r="3649" spans="2:2" x14ac:dyDescent="0.25">
      <c r="B3649"/>
    </row>
    <row r="3650" spans="2:2" x14ac:dyDescent="0.25">
      <c r="B3650"/>
    </row>
    <row r="3651" spans="2:2" x14ac:dyDescent="0.25">
      <c r="B3651"/>
    </row>
    <row r="3652" spans="2:2" x14ac:dyDescent="0.25">
      <c r="B3652"/>
    </row>
    <row r="3653" spans="2:2" x14ac:dyDescent="0.25">
      <c r="B3653"/>
    </row>
    <row r="3654" spans="2:2" x14ac:dyDescent="0.25">
      <c r="B3654"/>
    </row>
    <row r="3655" spans="2:2" x14ac:dyDescent="0.25">
      <c r="B3655"/>
    </row>
    <row r="3656" spans="2:2" x14ac:dyDescent="0.25">
      <c r="B3656"/>
    </row>
    <row r="3657" spans="2:2" x14ac:dyDescent="0.25">
      <c r="B3657"/>
    </row>
    <row r="3658" spans="2:2" x14ac:dyDescent="0.25">
      <c r="B3658"/>
    </row>
    <row r="3659" spans="2:2" x14ac:dyDescent="0.25">
      <c r="B3659"/>
    </row>
    <row r="3660" spans="2:2" x14ac:dyDescent="0.25">
      <c r="B3660"/>
    </row>
    <row r="3661" spans="2:2" x14ac:dyDescent="0.25">
      <c r="B3661"/>
    </row>
    <row r="3662" spans="2:2" x14ac:dyDescent="0.25">
      <c r="B3662"/>
    </row>
    <row r="3663" spans="2:2" x14ac:dyDescent="0.25">
      <c r="B3663"/>
    </row>
    <row r="3664" spans="2:2" x14ac:dyDescent="0.25">
      <c r="B3664"/>
    </row>
    <row r="3665" spans="2:2" x14ac:dyDescent="0.25">
      <c r="B3665"/>
    </row>
    <row r="3666" spans="2:2" x14ac:dyDescent="0.25">
      <c r="B3666"/>
    </row>
    <row r="3667" spans="2:2" x14ac:dyDescent="0.25">
      <c r="B3667"/>
    </row>
    <row r="3668" spans="2:2" x14ac:dyDescent="0.25">
      <c r="B3668"/>
    </row>
    <row r="3669" spans="2:2" x14ac:dyDescent="0.25">
      <c r="B3669"/>
    </row>
    <row r="3670" spans="2:2" x14ac:dyDescent="0.25">
      <c r="B3670"/>
    </row>
    <row r="3671" spans="2:2" x14ac:dyDescent="0.25">
      <c r="B3671"/>
    </row>
    <row r="3672" spans="2:2" x14ac:dyDescent="0.25">
      <c r="B3672"/>
    </row>
    <row r="3673" spans="2:2" x14ac:dyDescent="0.25">
      <c r="B3673"/>
    </row>
    <row r="3674" spans="2:2" x14ac:dyDescent="0.25">
      <c r="B3674"/>
    </row>
    <row r="3675" spans="2:2" x14ac:dyDescent="0.25">
      <c r="B3675"/>
    </row>
    <row r="3676" spans="2:2" x14ac:dyDescent="0.25">
      <c r="B3676"/>
    </row>
    <row r="3677" spans="2:2" x14ac:dyDescent="0.25">
      <c r="B3677"/>
    </row>
    <row r="3678" spans="2:2" x14ac:dyDescent="0.25">
      <c r="B3678"/>
    </row>
    <row r="3679" spans="2:2" x14ac:dyDescent="0.25">
      <c r="B3679"/>
    </row>
    <row r="3680" spans="2:2" x14ac:dyDescent="0.25">
      <c r="B3680"/>
    </row>
    <row r="3681" spans="2:2" x14ac:dyDescent="0.25">
      <c r="B3681"/>
    </row>
    <row r="3682" spans="2:2" x14ac:dyDescent="0.25">
      <c r="B3682"/>
    </row>
    <row r="3683" spans="2:2" x14ac:dyDescent="0.25">
      <c r="B3683"/>
    </row>
    <row r="3684" spans="2:2" x14ac:dyDescent="0.25">
      <c r="B3684"/>
    </row>
    <row r="3685" spans="2:2" x14ac:dyDescent="0.25">
      <c r="B3685"/>
    </row>
    <row r="3686" spans="2:2" x14ac:dyDescent="0.25">
      <c r="B3686"/>
    </row>
    <row r="3687" spans="2:2" x14ac:dyDescent="0.25">
      <c r="B3687"/>
    </row>
    <row r="3688" spans="2:2" x14ac:dyDescent="0.25">
      <c r="B3688"/>
    </row>
    <row r="3689" spans="2:2" x14ac:dyDescent="0.25">
      <c r="B3689"/>
    </row>
    <row r="3690" spans="2:2" x14ac:dyDescent="0.25">
      <c r="B3690"/>
    </row>
    <row r="3691" spans="2:2" x14ac:dyDescent="0.25">
      <c r="B3691"/>
    </row>
    <row r="3692" spans="2:2" x14ac:dyDescent="0.25">
      <c r="B3692"/>
    </row>
    <row r="3693" spans="2:2" x14ac:dyDescent="0.25">
      <c r="B3693"/>
    </row>
    <row r="3694" spans="2:2" x14ac:dyDescent="0.25">
      <c r="B3694"/>
    </row>
    <row r="3695" spans="2:2" x14ac:dyDescent="0.25">
      <c r="B3695"/>
    </row>
    <row r="3696" spans="2:2" x14ac:dyDescent="0.25">
      <c r="B3696"/>
    </row>
    <row r="3697" spans="2:2" x14ac:dyDescent="0.25">
      <c r="B3697"/>
    </row>
    <row r="3698" spans="2:2" x14ac:dyDescent="0.25">
      <c r="B3698"/>
    </row>
    <row r="3699" spans="2:2" x14ac:dyDescent="0.25">
      <c r="B3699"/>
    </row>
    <row r="3700" spans="2:2" x14ac:dyDescent="0.25">
      <c r="B3700"/>
    </row>
    <row r="3701" spans="2:2" x14ac:dyDescent="0.25">
      <c r="B3701"/>
    </row>
    <row r="3702" spans="2:2" x14ac:dyDescent="0.25">
      <c r="B3702"/>
    </row>
    <row r="3703" spans="2:2" x14ac:dyDescent="0.25">
      <c r="B3703"/>
    </row>
    <row r="3704" spans="2:2" x14ac:dyDescent="0.25">
      <c r="B3704"/>
    </row>
    <row r="3705" spans="2:2" x14ac:dyDescent="0.25">
      <c r="B3705"/>
    </row>
    <row r="3706" spans="2:2" x14ac:dyDescent="0.25">
      <c r="B3706"/>
    </row>
    <row r="3707" spans="2:2" x14ac:dyDescent="0.25">
      <c r="B3707"/>
    </row>
    <row r="3708" spans="2:2" x14ac:dyDescent="0.25">
      <c r="B3708"/>
    </row>
    <row r="3709" spans="2:2" x14ac:dyDescent="0.25">
      <c r="B3709"/>
    </row>
    <row r="3710" spans="2:2" x14ac:dyDescent="0.25">
      <c r="B3710"/>
    </row>
    <row r="3711" spans="2:2" x14ac:dyDescent="0.25">
      <c r="B3711"/>
    </row>
    <row r="3712" spans="2:2" x14ac:dyDescent="0.25">
      <c r="B3712"/>
    </row>
    <row r="3713" spans="2:2" x14ac:dyDescent="0.25">
      <c r="B3713"/>
    </row>
    <row r="3714" spans="2:2" x14ac:dyDescent="0.25">
      <c r="B3714"/>
    </row>
    <row r="3715" spans="2:2" x14ac:dyDescent="0.25">
      <c r="B3715"/>
    </row>
    <row r="3716" spans="2:2" x14ac:dyDescent="0.25">
      <c r="B3716"/>
    </row>
    <row r="3717" spans="2:2" x14ac:dyDescent="0.25">
      <c r="B3717"/>
    </row>
    <row r="3718" spans="2:2" x14ac:dyDescent="0.25">
      <c r="B3718"/>
    </row>
    <row r="3719" spans="2:2" x14ac:dyDescent="0.25">
      <c r="B3719"/>
    </row>
    <row r="3720" spans="2:2" x14ac:dyDescent="0.25">
      <c r="B3720"/>
    </row>
    <row r="3721" spans="2:2" x14ac:dyDescent="0.25">
      <c r="B3721"/>
    </row>
    <row r="3722" spans="2:2" x14ac:dyDescent="0.25">
      <c r="B3722"/>
    </row>
    <row r="3723" spans="2:2" x14ac:dyDescent="0.25">
      <c r="B3723"/>
    </row>
    <row r="3724" spans="2:2" x14ac:dyDescent="0.25">
      <c r="B3724"/>
    </row>
    <row r="3725" spans="2:2" x14ac:dyDescent="0.25">
      <c r="B3725"/>
    </row>
    <row r="3726" spans="2:2" x14ac:dyDescent="0.25">
      <c r="B3726"/>
    </row>
    <row r="3727" spans="2:2" x14ac:dyDescent="0.25">
      <c r="B3727"/>
    </row>
    <row r="3728" spans="2:2" x14ac:dyDescent="0.25">
      <c r="B3728"/>
    </row>
    <row r="3729" spans="2:2" x14ac:dyDescent="0.25">
      <c r="B3729"/>
    </row>
    <row r="3730" spans="2:2" x14ac:dyDescent="0.25">
      <c r="B3730"/>
    </row>
    <row r="3731" spans="2:2" x14ac:dyDescent="0.25">
      <c r="B3731"/>
    </row>
    <row r="3732" spans="2:2" x14ac:dyDescent="0.25">
      <c r="B3732"/>
    </row>
    <row r="3733" spans="2:2" x14ac:dyDescent="0.25">
      <c r="B3733"/>
    </row>
    <row r="3734" spans="2:2" x14ac:dyDescent="0.25">
      <c r="B3734"/>
    </row>
    <row r="3735" spans="2:2" x14ac:dyDescent="0.25">
      <c r="B3735"/>
    </row>
    <row r="3736" spans="2:2" x14ac:dyDescent="0.25">
      <c r="B3736"/>
    </row>
    <row r="3737" spans="2:2" x14ac:dyDescent="0.25">
      <c r="B3737"/>
    </row>
    <row r="3738" spans="2:2" x14ac:dyDescent="0.25">
      <c r="B3738"/>
    </row>
    <row r="3739" spans="2:2" x14ac:dyDescent="0.25">
      <c r="B3739"/>
    </row>
    <row r="3740" spans="2:2" x14ac:dyDescent="0.25">
      <c r="B3740"/>
    </row>
    <row r="3741" spans="2:2" x14ac:dyDescent="0.25">
      <c r="B3741"/>
    </row>
    <row r="3742" spans="2:2" x14ac:dyDescent="0.25">
      <c r="B3742"/>
    </row>
    <row r="3743" spans="2:2" x14ac:dyDescent="0.25">
      <c r="B3743"/>
    </row>
    <row r="3744" spans="2:2" x14ac:dyDescent="0.25">
      <c r="B3744"/>
    </row>
    <row r="3745" spans="2:2" x14ac:dyDescent="0.25">
      <c r="B3745"/>
    </row>
    <row r="3746" spans="2:2" x14ac:dyDescent="0.25">
      <c r="B3746"/>
    </row>
    <row r="3747" spans="2:2" x14ac:dyDescent="0.25">
      <c r="B3747"/>
    </row>
    <row r="3748" spans="2:2" x14ac:dyDescent="0.25">
      <c r="B3748"/>
    </row>
    <row r="3749" spans="2:2" x14ac:dyDescent="0.25">
      <c r="B3749"/>
    </row>
    <row r="3750" spans="2:2" x14ac:dyDescent="0.25">
      <c r="B3750"/>
    </row>
    <row r="3751" spans="2:2" x14ac:dyDescent="0.25">
      <c r="B3751"/>
    </row>
    <row r="3752" spans="2:2" x14ac:dyDescent="0.25">
      <c r="B3752"/>
    </row>
    <row r="3753" spans="2:2" x14ac:dyDescent="0.25">
      <c r="B3753"/>
    </row>
    <row r="3754" spans="2:2" x14ac:dyDescent="0.25">
      <c r="B3754"/>
    </row>
    <row r="3755" spans="2:2" x14ac:dyDescent="0.25">
      <c r="B3755"/>
    </row>
    <row r="3756" spans="2:2" x14ac:dyDescent="0.25">
      <c r="B3756"/>
    </row>
    <row r="3757" spans="2:2" x14ac:dyDescent="0.25">
      <c r="B3757"/>
    </row>
    <row r="3758" spans="2:2" x14ac:dyDescent="0.25">
      <c r="B3758"/>
    </row>
    <row r="3759" spans="2:2" x14ac:dyDescent="0.25">
      <c r="B3759"/>
    </row>
    <row r="3760" spans="2:2" x14ac:dyDescent="0.25">
      <c r="B3760"/>
    </row>
    <row r="3761" spans="2:2" x14ac:dyDescent="0.25">
      <c r="B3761"/>
    </row>
    <row r="3762" spans="2:2" x14ac:dyDescent="0.25">
      <c r="B3762"/>
    </row>
    <row r="3763" spans="2:2" x14ac:dyDescent="0.25">
      <c r="B3763"/>
    </row>
    <row r="3764" spans="2:2" x14ac:dyDescent="0.25">
      <c r="B3764"/>
    </row>
    <row r="3765" spans="2:2" x14ac:dyDescent="0.25">
      <c r="B3765"/>
    </row>
    <row r="3766" spans="2:2" x14ac:dyDescent="0.25">
      <c r="B3766"/>
    </row>
    <row r="3767" spans="2:2" x14ac:dyDescent="0.25">
      <c r="B3767"/>
    </row>
    <row r="3768" spans="2:2" x14ac:dyDescent="0.25">
      <c r="B3768"/>
    </row>
    <row r="3769" spans="2:2" x14ac:dyDescent="0.25">
      <c r="B3769"/>
    </row>
    <row r="3770" spans="2:2" x14ac:dyDescent="0.25">
      <c r="B3770"/>
    </row>
    <row r="3771" spans="2:2" x14ac:dyDescent="0.25">
      <c r="B3771"/>
    </row>
    <row r="3772" spans="2:2" x14ac:dyDescent="0.25">
      <c r="B3772"/>
    </row>
    <row r="3773" spans="2:2" x14ac:dyDescent="0.25">
      <c r="B3773"/>
    </row>
    <row r="3774" spans="2:2" x14ac:dyDescent="0.25">
      <c r="B3774"/>
    </row>
    <row r="3775" spans="2:2" x14ac:dyDescent="0.25">
      <c r="B3775"/>
    </row>
    <row r="3776" spans="2:2" x14ac:dyDescent="0.25">
      <c r="B3776"/>
    </row>
    <row r="3777" spans="2:2" x14ac:dyDescent="0.25">
      <c r="B3777"/>
    </row>
    <row r="3778" spans="2:2" x14ac:dyDescent="0.25">
      <c r="B3778"/>
    </row>
    <row r="3779" spans="2:2" x14ac:dyDescent="0.25">
      <c r="B3779"/>
    </row>
    <row r="3780" spans="2:2" x14ac:dyDescent="0.25">
      <c r="B3780"/>
    </row>
    <row r="3781" spans="2:2" x14ac:dyDescent="0.25">
      <c r="B3781"/>
    </row>
    <row r="3782" spans="2:2" x14ac:dyDescent="0.25">
      <c r="B3782"/>
    </row>
    <row r="3783" spans="2:2" x14ac:dyDescent="0.25">
      <c r="B3783"/>
    </row>
    <row r="3784" spans="2:2" x14ac:dyDescent="0.25">
      <c r="B3784"/>
    </row>
    <row r="3785" spans="2:2" x14ac:dyDescent="0.25">
      <c r="B3785"/>
    </row>
    <row r="3786" spans="2:2" x14ac:dyDescent="0.25">
      <c r="B3786"/>
    </row>
    <row r="3787" spans="2:2" x14ac:dyDescent="0.25">
      <c r="B3787"/>
    </row>
    <row r="3788" spans="2:2" x14ac:dyDescent="0.25">
      <c r="B3788"/>
    </row>
    <row r="3789" spans="2:2" x14ac:dyDescent="0.25">
      <c r="B3789"/>
    </row>
    <row r="3790" spans="2:2" x14ac:dyDescent="0.25">
      <c r="B3790"/>
    </row>
    <row r="3791" spans="2:2" x14ac:dyDescent="0.25">
      <c r="B3791"/>
    </row>
    <row r="3792" spans="2:2" x14ac:dyDescent="0.25">
      <c r="B3792"/>
    </row>
    <row r="3793" spans="2:2" x14ac:dyDescent="0.25">
      <c r="B3793"/>
    </row>
    <row r="3794" spans="2:2" x14ac:dyDescent="0.25">
      <c r="B3794"/>
    </row>
    <row r="3795" spans="2:2" x14ac:dyDescent="0.25">
      <c r="B3795"/>
    </row>
    <row r="3796" spans="2:2" x14ac:dyDescent="0.25">
      <c r="B3796"/>
    </row>
    <row r="3797" spans="2:2" x14ac:dyDescent="0.25">
      <c r="B3797"/>
    </row>
    <row r="3798" spans="2:2" x14ac:dyDescent="0.25">
      <c r="B3798"/>
    </row>
    <row r="3799" spans="2:2" x14ac:dyDescent="0.25">
      <c r="B3799"/>
    </row>
    <row r="3800" spans="2:2" x14ac:dyDescent="0.25">
      <c r="B3800"/>
    </row>
    <row r="3801" spans="2:2" x14ac:dyDescent="0.25">
      <c r="B3801"/>
    </row>
    <row r="3802" spans="2:2" x14ac:dyDescent="0.25">
      <c r="B3802"/>
    </row>
    <row r="3803" spans="2:2" x14ac:dyDescent="0.25">
      <c r="B3803"/>
    </row>
    <row r="3804" spans="2:2" x14ac:dyDescent="0.25">
      <c r="B3804"/>
    </row>
    <row r="3805" spans="2:2" x14ac:dyDescent="0.25">
      <c r="B3805"/>
    </row>
    <row r="3806" spans="2:2" x14ac:dyDescent="0.25">
      <c r="B3806"/>
    </row>
    <row r="3807" spans="2:2" x14ac:dyDescent="0.25">
      <c r="B3807"/>
    </row>
    <row r="3808" spans="2:2" x14ac:dyDescent="0.25">
      <c r="B3808"/>
    </row>
    <row r="3809" spans="2:2" x14ac:dyDescent="0.25">
      <c r="B3809"/>
    </row>
    <row r="3810" spans="2:2" x14ac:dyDescent="0.25">
      <c r="B3810"/>
    </row>
    <row r="3811" spans="2:2" x14ac:dyDescent="0.25">
      <c r="B3811"/>
    </row>
    <row r="3812" spans="2:2" x14ac:dyDescent="0.25">
      <c r="B3812"/>
    </row>
    <row r="3813" spans="2:2" x14ac:dyDescent="0.25">
      <c r="B3813"/>
    </row>
    <row r="3814" spans="2:2" x14ac:dyDescent="0.25">
      <c r="B3814"/>
    </row>
    <row r="3815" spans="2:2" x14ac:dyDescent="0.25">
      <c r="B3815"/>
    </row>
    <row r="3816" spans="2:2" x14ac:dyDescent="0.25">
      <c r="B3816"/>
    </row>
    <row r="3817" spans="2:2" x14ac:dyDescent="0.25">
      <c r="B3817"/>
    </row>
    <row r="3818" spans="2:2" x14ac:dyDescent="0.25">
      <c r="B3818"/>
    </row>
    <row r="3819" spans="2:2" x14ac:dyDescent="0.25">
      <c r="B3819"/>
    </row>
    <row r="3820" spans="2:2" x14ac:dyDescent="0.25">
      <c r="B3820"/>
    </row>
    <row r="3821" spans="2:2" x14ac:dyDescent="0.25">
      <c r="B3821"/>
    </row>
    <row r="3822" spans="2:2" x14ac:dyDescent="0.25">
      <c r="B3822"/>
    </row>
    <row r="3823" spans="2:2" x14ac:dyDescent="0.25">
      <c r="B3823"/>
    </row>
    <row r="3824" spans="2:2" x14ac:dyDescent="0.25">
      <c r="B3824"/>
    </row>
    <row r="3825" spans="2:2" x14ac:dyDescent="0.25">
      <c r="B3825"/>
    </row>
    <row r="3826" spans="2:2" x14ac:dyDescent="0.25">
      <c r="B3826"/>
    </row>
    <row r="3827" spans="2:2" x14ac:dyDescent="0.25">
      <c r="B3827"/>
    </row>
    <row r="3828" spans="2:2" x14ac:dyDescent="0.25">
      <c r="B3828"/>
    </row>
    <row r="3829" spans="2:2" x14ac:dyDescent="0.25">
      <c r="B3829"/>
    </row>
    <row r="3830" spans="2:2" x14ac:dyDescent="0.25">
      <c r="B3830"/>
    </row>
    <row r="3831" spans="2:2" x14ac:dyDescent="0.25">
      <c r="B3831"/>
    </row>
    <row r="3832" spans="2:2" x14ac:dyDescent="0.25">
      <c r="B3832"/>
    </row>
    <row r="3833" spans="2:2" x14ac:dyDescent="0.25">
      <c r="B3833"/>
    </row>
    <row r="3834" spans="2:2" x14ac:dyDescent="0.25">
      <c r="B3834"/>
    </row>
    <row r="3835" spans="2:2" x14ac:dyDescent="0.25">
      <c r="B3835"/>
    </row>
    <row r="3836" spans="2:2" x14ac:dyDescent="0.25">
      <c r="B3836"/>
    </row>
    <row r="3837" spans="2:2" x14ac:dyDescent="0.25">
      <c r="B3837"/>
    </row>
    <row r="3838" spans="2:2" x14ac:dyDescent="0.25">
      <c r="B3838"/>
    </row>
    <row r="3839" spans="2:2" x14ac:dyDescent="0.25">
      <c r="B3839"/>
    </row>
    <row r="3840" spans="2:2" x14ac:dyDescent="0.25">
      <c r="B3840"/>
    </row>
    <row r="3841" spans="2:2" x14ac:dyDescent="0.25">
      <c r="B3841"/>
    </row>
    <row r="3842" spans="2:2" x14ac:dyDescent="0.25">
      <c r="B3842"/>
    </row>
    <row r="3843" spans="2:2" x14ac:dyDescent="0.25">
      <c r="B3843"/>
    </row>
    <row r="3844" spans="2:2" x14ac:dyDescent="0.25">
      <c r="B3844"/>
    </row>
    <row r="3845" spans="2:2" x14ac:dyDescent="0.25">
      <c r="B3845"/>
    </row>
    <row r="3846" spans="2:2" x14ac:dyDescent="0.25">
      <c r="B3846"/>
    </row>
    <row r="3847" spans="2:2" x14ac:dyDescent="0.25">
      <c r="B3847"/>
    </row>
    <row r="3848" spans="2:2" x14ac:dyDescent="0.25">
      <c r="B3848"/>
    </row>
    <row r="3849" spans="2:2" x14ac:dyDescent="0.25">
      <c r="B3849"/>
    </row>
    <row r="3850" spans="2:2" x14ac:dyDescent="0.25">
      <c r="B3850"/>
    </row>
    <row r="3851" spans="2:2" x14ac:dyDescent="0.25">
      <c r="B3851"/>
    </row>
    <row r="3852" spans="2:2" x14ac:dyDescent="0.25">
      <c r="B3852"/>
    </row>
    <row r="3853" spans="2:2" x14ac:dyDescent="0.25">
      <c r="B3853"/>
    </row>
    <row r="3854" spans="2:2" x14ac:dyDescent="0.25">
      <c r="B3854"/>
    </row>
    <row r="3855" spans="2:2" x14ac:dyDescent="0.25">
      <c r="B3855"/>
    </row>
    <row r="3856" spans="2:2" x14ac:dyDescent="0.25">
      <c r="B3856"/>
    </row>
    <row r="3857" spans="2:2" x14ac:dyDescent="0.25">
      <c r="B3857"/>
    </row>
    <row r="3858" spans="2:2" x14ac:dyDescent="0.25">
      <c r="B3858"/>
    </row>
    <row r="3859" spans="2:2" x14ac:dyDescent="0.25">
      <c r="B3859"/>
    </row>
    <row r="3860" spans="2:2" x14ac:dyDescent="0.25">
      <c r="B3860"/>
    </row>
    <row r="3861" spans="2:2" x14ac:dyDescent="0.25">
      <c r="B3861"/>
    </row>
    <row r="3862" spans="2:2" x14ac:dyDescent="0.25">
      <c r="B3862"/>
    </row>
    <row r="3863" spans="2:2" x14ac:dyDescent="0.25">
      <c r="B3863"/>
    </row>
    <row r="3864" spans="2:2" x14ac:dyDescent="0.25">
      <c r="B3864"/>
    </row>
    <row r="3865" spans="2:2" x14ac:dyDescent="0.25">
      <c r="B3865"/>
    </row>
    <row r="3866" spans="2:2" x14ac:dyDescent="0.25">
      <c r="B3866"/>
    </row>
    <row r="3867" spans="2:2" x14ac:dyDescent="0.25">
      <c r="B3867"/>
    </row>
    <row r="3868" spans="2:2" x14ac:dyDescent="0.25">
      <c r="B3868"/>
    </row>
    <row r="3869" spans="2:2" x14ac:dyDescent="0.25">
      <c r="B3869"/>
    </row>
    <row r="3870" spans="2:2" x14ac:dyDescent="0.25">
      <c r="B3870"/>
    </row>
    <row r="3871" spans="2:2" x14ac:dyDescent="0.25">
      <c r="B3871"/>
    </row>
    <row r="3872" spans="2:2" x14ac:dyDescent="0.25">
      <c r="B3872"/>
    </row>
    <row r="3873" spans="2:2" x14ac:dyDescent="0.25">
      <c r="B3873"/>
    </row>
    <row r="3874" spans="2:2" x14ac:dyDescent="0.25">
      <c r="B3874"/>
    </row>
    <row r="3875" spans="2:2" x14ac:dyDescent="0.25">
      <c r="B3875"/>
    </row>
    <row r="3876" spans="2:2" x14ac:dyDescent="0.25">
      <c r="B3876"/>
    </row>
    <row r="3877" spans="2:2" x14ac:dyDescent="0.25">
      <c r="B3877"/>
    </row>
    <row r="3878" spans="2:2" x14ac:dyDescent="0.25">
      <c r="B3878"/>
    </row>
    <row r="3879" spans="2:2" x14ac:dyDescent="0.25">
      <c r="B3879"/>
    </row>
    <row r="3880" spans="2:2" x14ac:dyDescent="0.25">
      <c r="B3880"/>
    </row>
    <row r="3881" spans="2:2" x14ac:dyDescent="0.25">
      <c r="B3881"/>
    </row>
    <row r="3882" spans="2:2" x14ac:dyDescent="0.25">
      <c r="B3882"/>
    </row>
    <row r="3883" spans="2:2" x14ac:dyDescent="0.25">
      <c r="B3883"/>
    </row>
    <row r="3884" spans="2:2" x14ac:dyDescent="0.25">
      <c r="B3884"/>
    </row>
    <row r="3885" spans="2:2" x14ac:dyDescent="0.25">
      <c r="B3885"/>
    </row>
    <row r="3886" spans="2:2" x14ac:dyDescent="0.25">
      <c r="B3886"/>
    </row>
    <row r="3887" spans="2:2" x14ac:dyDescent="0.25">
      <c r="B3887"/>
    </row>
    <row r="3888" spans="2:2" x14ac:dyDescent="0.25">
      <c r="B3888"/>
    </row>
    <row r="3889" spans="2:2" x14ac:dyDescent="0.25">
      <c r="B3889"/>
    </row>
    <row r="3890" spans="2:2" x14ac:dyDescent="0.25">
      <c r="B3890"/>
    </row>
    <row r="3891" spans="2:2" x14ac:dyDescent="0.25">
      <c r="B3891"/>
    </row>
    <row r="3892" spans="2:2" x14ac:dyDescent="0.25">
      <c r="B3892"/>
    </row>
    <row r="3893" spans="2:2" x14ac:dyDescent="0.25">
      <c r="B3893"/>
    </row>
    <row r="3894" spans="2:2" x14ac:dyDescent="0.25">
      <c r="B3894"/>
    </row>
    <row r="3895" spans="2:2" x14ac:dyDescent="0.25">
      <c r="B3895"/>
    </row>
    <row r="3896" spans="2:2" x14ac:dyDescent="0.25">
      <c r="B3896"/>
    </row>
    <row r="3897" spans="2:2" x14ac:dyDescent="0.25">
      <c r="B3897"/>
    </row>
    <row r="3898" spans="2:2" x14ac:dyDescent="0.25">
      <c r="B3898"/>
    </row>
    <row r="3899" spans="2:2" x14ac:dyDescent="0.25">
      <c r="B3899"/>
    </row>
    <row r="3900" spans="2:2" x14ac:dyDescent="0.25">
      <c r="B3900"/>
    </row>
    <row r="3901" spans="2:2" x14ac:dyDescent="0.25">
      <c r="B3901"/>
    </row>
    <row r="3902" spans="2:2" x14ac:dyDescent="0.25">
      <c r="B3902"/>
    </row>
    <row r="3903" spans="2:2" x14ac:dyDescent="0.25">
      <c r="B3903"/>
    </row>
    <row r="3904" spans="2:2" x14ac:dyDescent="0.25">
      <c r="B3904"/>
    </row>
    <row r="3905" spans="2:2" x14ac:dyDescent="0.25">
      <c r="B3905"/>
    </row>
    <row r="3906" spans="2:2" x14ac:dyDescent="0.25">
      <c r="B3906"/>
    </row>
    <row r="3907" spans="2:2" x14ac:dyDescent="0.25">
      <c r="B3907"/>
    </row>
    <row r="3908" spans="2:2" x14ac:dyDescent="0.25">
      <c r="B3908"/>
    </row>
    <row r="3909" spans="2:2" x14ac:dyDescent="0.25">
      <c r="B3909"/>
    </row>
    <row r="3910" spans="2:2" x14ac:dyDescent="0.25">
      <c r="B3910"/>
    </row>
    <row r="3911" spans="2:2" x14ac:dyDescent="0.25">
      <c r="B3911"/>
    </row>
    <row r="3912" spans="2:2" x14ac:dyDescent="0.25">
      <c r="B3912"/>
    </row>
    <row r="3913" spans="2:2" x14ac:dyDescent="0.25">
      <c r="B3913"/>
    </row>
    <row r="3914" spans="2:2" x14ac:dyDescent="0.25">
      <c r="B3914"/>
    </row>
    <row r="3915" spans="2:2" x14ac:dyDescent="0.25">
      <c r="B3915"/>
    </row>
    <row r="3916" spans="2:2" x14ac:dyDescent="0.25">
      <c r="B3916"/>
    </row>
    <row r="3917" spans="2:2" x14ac:dyDescent="0.25">
      <c r="B3917"/>
    </row>
    <row r="3918" spans="2:2" x14ac:dyDescent="0.25">
      <c r="B3918"/>
    </row>
    <row r="3919" spans="2:2" x14ac:dyDescent="0.25">
      <c r="B3919"/>
    </row>
    <row r="3920" spans="2:2" x14ac:dyDescent="0.25">
      <c r="B3920"/>
    </row>
    <row r="3921" spans="2:2" x14ac:dyDescent="0.25">
      <c r="B3921"/>
    </row>
    <row r="3922" spans="2:2" x14ac:dyDescent="0.25">
      <c r="B3922"/>
    </row>
    <row r="3923" spans="2:2" x14ac:dyDescent="0.25">
      <c r="B3923"/>
    </row>
    <row r="3924" spans="2:2" x14ac:dyDescent="0.25">
      <c r="B3924"/>
    </row>
    <row r="3925" spans="2:2" x14ac:dyDescent="0.25">
      <c r="B3925"/>
    </row>
    <row r="3926" spans="2:2" x14ac:dyDescent="0.25">
      <c r="B3926"/>
    </row>
    <row r="3927" spans="2:2" x14ac:dyDescent="0.25">
      <c r="B3927"/>
    </row>
    <row r="3928" spans="2:2" x14ac:dyDescent="0.25">
      <c r="B3928"/>
    </row>
    <row r="3929" spans="2:2" x14ac:dyDescent="0.25">
      <c r="B3929"/>
    </row>
    <row r="3930" spans="2:2" x14ac:dyDescent="0.25">
      <c r="B3930"/>
    </row>
    <row r="3931" spans="2:2" x14ac:dyDescent="0.25">
      <c r="B3931"/>
    </row>
    <row r="3932" spans="2:2" x14ac:dyDescent="0.25">
      <c r="B3932"/>
    </row>
    <row r="3933" spans="2:2" x14ac:dyDescent="0.25">
      <c r="B3933"/>
    </row>
    <row r="3934" spans="2:2" x14ac:dyDescent="0.25">
      <c r="B3934"/>
    </row>
    <row r="3935" spans="2:2" x14ac:dyDescent="0.25">
      <c r="B3935"/>
    </row>
    <row r="3936" spans="2:2" x14ac:dyDescent="0.25">
      <c r="B3936"/>
    </row>
    <row r="3937" spans="2:2" x14ac:dyDescent="0.25">
      <c r="B3937"/>
    </row>
    <row r="3938" spans="2:2" x14ac:dyDescent="0.25">
      <c r="B3938"/>
    </row>
    <row r="3939" spans="2:2" x14ac:dyDescent="0.25">
      <c r="B3939"/>
    </row>
    <row r="3940" spans="2:2" x14ac:dyDescent="0.25">
      <c r="B3940"/>
    </row>
    <row r="3941" spans="2:2" x14ac:dyDescent="0.25">
      <c r="B3941"/>
    </row>
    <row r="3942" spans="2:2" x14ac:dyDescent="0.25">
      <c r="B3942"/>
    </row>
    <row r="3943" spans="2:2" x14ac:dyDescent="0.25">
      <c r="B3943"/>
    </row>
    <row r="3944" spans="2:2" x14ac:dyDescent="0.25">
      <c r="B3944"/>
    </row>
    <row r="3945" spans="2:2" x14ac:dyDescent="0.25">
      <c r="B3945"/>
    </row>
    <row r="3946" spans="2:2" x14ac:dyDescent="0.25">
      <c r="B3946"/>
    </row>
    <row r="3947" spans="2:2" x14ac:dyDescent="0.25">
      <c r="B3947"/>
    </row>
    <row r="3948" spans="2:2" x14ac:dyDescent="0.25">
      <c r="B3948"/>
    </row>
    <row r="3949" spans="2:2" x14ac:dyDescent="0.25">
      <c r="B3949"/>
    </row>
    <row r="3950" spans="2:2" x14ac:dyDescent="0.25">
      <c r="B3950"/>
    </row>
    <row r="3951" spans="2:2" x14ac:dyDescent="0.25">
      <c r="B3951"/>
    </row>
    <row r="3952" spans="2:2" x14ac:dyDescent="0.25">
      <c r="B3952"/>
    </row>
    <row r="3953" spans="2:2" x14ac:dyDescent="0.25">
      <c r="B3953"/>
    </row>
    <row r="3954" spans="2:2" x14ac:dyDescent="0.25">
      <c r="B3954"/>
    </row>
    <row r="3955" spans="2:2" x14ac:dyDescent="0.25">
      <c r="B3955"/>
    </row>
    <row r="3956" spans="2:2" x14ac:dyDescent="0.25">
      <c r="B3956"/>
    </row>
    <row r="3957" spans="2:2" x14ac:dyDescent="0.25">
      <c r="B3957"/>
    </row>
    <row r="3958" spans="2:2" x14ac:dyDescent="0.25">
      <c r="B3958"/>
    </row>
    <row r="3959" spans="2:2" x14ac:dyDescent="0.25">
      <c r="B3959"/>
    </row>
    <row r="3960" spans="2:2" x14ac:dyDescent="0.25">
      <c r="B3960"/>
    </row>
    <row r="3961" spans="2:2" x14ac:dyDescent="0.25">
      <c r="B3961"/>
    </row>
    <row r="3962" spans="2:2" x14ac:dyDescent="0.25">
      <c r="B3962"/>
    </row>
    <row r="3963" spans="2:2" x14ac:dyDescent="0.25">
      <c r="B3963"/>
    </row>
    <row r="3964" spans="2:2" x14ac:dyDescent="0.25">
      <c r="B3964"/>
    </row>
    <row r="3965" spans="2:2" x14ac:dyDescent="0.25">
      <c r="B3965"/>
    </row>
    <row r="3966" spans="2:2" x14ac:dyDescent="0.25">
      <c r="B3966"/>
    </row>
    <row r="3967" spans="2:2" x14ac:dyDescent="0.25">
      <c r="B3967"/>
    </row>
    <row r="3968" spans="2:2" x14ac:dyDescent="0.25">
      <c r="B3968"/>
    </row>
    <row r="3969" spans="2:2" x14ac:dyDescent="0.25">
      <c r="B3969"/>
    </row>
    <row r="3970" spans="2:2" x14ac:dyDescent="0.25">
      <c r="B3970"/>
    </row>
    <row r="3971" spans="2:2" x14ac:dyDescent="0.25">
      <c r="B3971"/>
    </row>
    <row r="3972" spans="2:2" x14ac:dyDescent="0.25">
      <c r="B3972"/>
    </row>
    <row r="3973" spans="2:2" x14ac:dyDescent="0.25">
      <c r="B3973"/>
    </row>
    <row r="3974" spans="2:2" x14ac:dyDescent="0.25">
      <c r="B3974"/>
    </row>
    <row r="3975" spans="2:2" x14ac:dyDescent="0.25">
      <c r="B3975"/>
    </row>
    <row r="3976" spans="2:2" x14ac:dyDescent="0.25">
      <c r="B3976"/>
    </row>
    <row r="3977" spans="2:2" x14ac:dyDescent="0.25">
      <c r="B3977"/>
    </row>
    <row r="3978" spans="2:2" x14ac:dyDescent="0.25">
      <c r="B3978"/>
    </row>
    <row r="3979" spans="2:2" x14ac:dyDescent="0.25">
      <c r="B3979"/>
    </row>
    <row r="3980" spans="2:2" x14ac:dyDescent="0.25">
      <c r="B3980"/>
    </row>
    <row r="3981" spans="2:2" x14ac:dyDescent="0.25">
      <c r="B3981"/>
    </row>
    <row r="3982" spans="2:2" x14ac:dyDescent="0.25">
      <c r="B3982"/>
    </row>
    <row r="3983" spans="2:2" x14ac:dyDescent="0.25">
      <c r="B3983"/>
    </row>
    <row r="3984" spans="2:2" x14ac:dyDescent="0.25">
      <c r="B3984"/>
    </row>
    <row r="3985" spans="2:2" x14ac:dyDescent="0.25">
      <c r="B3985"/>
    </row>
    <row r="3986" spans="2:2" x14ac:dyDescent="0.25">
      <c r="B3986"/>
    </row>
    <row r="3987" spans="2:2" x14ac:dyDescent="0.25">
      <c r="B3987"/>
    </row>
    <row r="3988" spans="2:2" x14ac:dyDescent="0.25">
      <c r="B3988"/>
    </row>
    <row r="3989" spans="2:2" x14ac:dyDescent="0.25">
      <c r="B3989"/>
    </row>
    <row r="3990" spans="2:2" x14ac:dyDescent="0.25">
      <c r="B3990"/>
    </row>
    <row r="3991" spans="2:2" x14ac:dyDescent="0.25">
      <c r="B3991"/>
    </row>
    <row r="3992" spans="2:2" x14ac:dyDescent="0.25">
      <c r="B3992"/>
    </row>
    <row r="3993" spans="2:2" x14ac:dyDescent="0.25">
      <c r="B3993"/>
    </row>
    <row r="3994" spans="2:2" x14ac:dyDescent="0.25">
      <c r="B3994"/>
    </row>
    <row r="3995" spans="2:2" x14ac:dyDescent="0.25">
      <c r="B3995"/>
    </row>
    <row r="3996" spans="2:2" x14ac:dyDescent="0.25">
      <c r="B3996"/>
    </row>
    <row r="3997" spans="2:2" x14ac:dyDescent="0.25">
      <c r="B3997"/>
    </row>
    <row r="3998" spans="2:2" x14ac:dyDescent="0.25">
      <c r="B3998"/>
    </row>
    <row r="3999" spans="2:2" x14ac:dyDescent="0.25">
      <c r="B3999"/>
    </row>
    <row r="4000" spans="2:2" x14ac:dyDescent="0.25">
      <c r="B4000"/>
    </row>
    <row r="4001" spans="2:2" x14ac:dyDescent="0.25">
      <c r="B4001"/>
    </row>
    <row r="4002" spans="2:2" x14ac:dyDescent="0.25">
      <c r="B4002"/>
    </row>
    <row r="4003" spans="2:2" x14ac:dyDescent="0.25">
      <c r="B4003"/>
    </row>
    <row r="4004" spans="2:2" x14ac:dyDescent="0.25">
      <c r="B4004"/>
    </row>
    <row r="4005" spans="2:2" x14ac:dyDescent="0.25">
      <c r="B4005"/>
    </row>
    <row r="4006" spans="2:2" x14ac:dyDescent="0.25">
      <c r="B4006"/>
    </row>
    <row r="4007" spans="2:2" x14ac:dyDescent="0.25">
      <c r="B4007"/>
    </row>
    <row r="4008" spans="2:2" x14ac:dyDescent="0.25">
      <c r="B4008"/>
    </row>
    <row r="4009" spans="2:2" x14ac:dyDescent="0.25">
      <c r="B4009"/>
    </row>
    <row r="4010" spans="2:2" x14ac:dyDescent="0.25">
      <c r="B4010"/>
    </row>
    <row r="4011" spans="2:2" x14ac:dyDescent="0.25">
      <c r="B4011"/>
    </row>
    <row r="4012" spans="2:2" x14ac:dyDescent="0.25">
      <c r="B4012"/>
    </row>
    <row r="4013" spans="2:2" x14ac:dyDescent="0.25">
      <c r="B4013"/>
    </row>
    <row r="4014" spans="2:2" x14ac:dyDescent="0.25">
      <c r="B4014"/>
    </row>
    <row r="4015" spans="2:2" x14ac:dyDescent="0.25">
      <c r="B4015"/>
    </row>
    <row r="4016" spans="2:2" x14ac:dyDescent="0.25">
      <c r="B4016"/>
    </row>
    <row r="4017" spans="2:2" x14ac:dyDescent="0.25">
      <c r="B4017"/>
    </row>
    <row r="4018" spans="2:2" x14ac:dyDescent="0.25">
      <c r="B4018"/>
    </row>
    <row r="4019" spans="2:2" x14ac:dyDescent="0.25">
      <c r="B4019"/>
    </row>
    <row r="4020" spans="2:2" x14ac:dyDescent="0.25">
      <c r="B4020"/>
    </row>
    <row r="4021" spans="2:2" x14ac:dyDescent="0.25">
      <c r="B4021"/>
    </row>
    <row r="4022" spans="2:2" x14ac:dyDescent="0.25">
      <c r="B4022"/>
    </row>
    <row r="4023" spans="2:2" x14ac:dyDescent="0.25">
      <c r="B4023"/>
    </row>
    <row r="4024" spans="2:2" x14ac:dyDescent="0.25">
      <c r="B4024"/>
    </row>
    <row r="4025" spans="2:2" x14ac:dyDescent="0.25">
      <c r="B4025"/>
    </row>
    <row r="4026" spans="2:2" x14ac:dyDescent="0.25">
      <c r="B4026"/>
    </row>
    <row r="4027" spans="2:2" x14ac:dyDescent="0.25">
      <c r="B4027"/>
    </row>
    <row r="4028" spans="2:2" x14ac:dyDescent="0.25">
      <c r="B4028"/>
    </row>
    <row r="4029" spans="2:2" x14ac:dyDescent="0.25">
      <c r="B4029"/>
    </row>
    <row r="4030" spans="2:2" x14ac:dyDescent="0.25">
      <c r="B4030"/>
    </row>
    <row r="4031" spans="2:2" x14ac:dyDescent="0.25">
      <c r="B4031"/>
    </row>
    <row r="4032" spans="2:2" x14ac:dyDescent="0.25">
      <c r="B4032"/>
    </row>
    <row r="4033" spans="2:2" x14ac:dyDescent="0.25">
      <c r="B4033"/>
    </row>
    <row r="4034" spans="2:2" x14ac:dyDescent="0.25">
      <c r="B4034"/>
    </row>
    <row r="4035" spans="2:2" x14ac:dyDescent="0.25">
      <c r="B4035"/>
    </row>
    <row r="4036" spans="2:2" x14ac:dyDescent="0.25">
      <c r="B4036"/>
    </row>
    <row r="4037" spans="2:2" x14ac:dyDescent="0.25">
      <c r="B4037"/>
    </row>
    <row r="4038" spans="2:2" x14ac:dyDescent="0.25">
      <c r="B4038"/>
    </row>
    <row r="4039" spans="2:2" x14ac:dyDescent="0.25">
      <c r="B4039"/>
    </row>
    <row r="4040" spans="2:2" x14ac:dyDescent="0.25">
      <c r="B4040"/>
    </row>
    <row r="4041" spans="2:2" x14ac:dyDescent="0.25">
      <c r="B4041"/>
    </row>
    <row r="4042" spans="2:2" x14ac:dyDescent="0.25">
      <c r="B4042"/>
    </row>
    <row r="4043" spans="2:2" x14ac:dyDescent="0.25">
      <c r="B4043"/>
    </row>
    <row r="4044" spans="2:2" x14ac:dyDescent="0.25">
      <c r="B4044"/>
    </row>
    <row r="4045" spans="2:2" x14ac:dyDescent="0.25">
      <c r="B4045"/>
    </row>
    <row r="4046" spans="2:2" x14ac:dyDescent="0.25">
      <c r="B4046"/>
    </row>
    <row r="4047" spans="2:2" x14ac:dyDescent="0.25">
      <c r="B4047"/>
    </row>
    <row r="4048" spans="2:2" x14ac:dyDescent="0.25">
      <c r="B4048"/>
    </row>
    <row r="4049" spans="2:2" x14ac:dyDescent="0.25">
      <c r="B4049"/>
    </row>
    <row r="4050" spans="2:2" x14ac:dyDescent="0.25">
      <c r="B4050"/>
    </row>
    <row r="4051" spans="2:2" x14ac:dyDescent="0.25">
      <c r="B4051"/>
    </row>
    <row r="4052" spans="2:2" x14ac:dyDescent="0.25">
      <c r="B4052"/>
    </row>
    <row r="4053" spans="2:2" x14ac:dyDescent="0.25">
      <c r="B4053"/>
    </row>
    <row r="4054" spans="2:2" x14ac:dyDescent="0.25">
      <c r="B4054"/>
    </row>
    <row r="4055" spans="2:2" x14ac:dyDescent="0.25">
      <c r="B4055"/>
    </row>
    <row r="4056" spans="2:2" x14ac:dyDescent="0.25">
      <c r="B4056"/>
    </row>
    <row r="4057" spans="2:2" x14ac:dyDescent="0.25">
      <c r="B4057"/>
    </row>
    <row r="4058" spans="2:2" x14ac:dyDescent="0.25">
      <c r="B4058"/>
    </row>
    <row r="4059" spans="2:2" x14ac:dyDescent="0.25">
      <c r="B4059"/>
    </row>
    <row r="4060" spans="2:2" x14ac:dyDescent="0.25">
      <c r="B4060"/>
    </row>
    <row r="4061" spans="2:2" x14ac:dyDescent="0.25">
      <c r="B4061"/>
    </row>
    <row r="4062" spans="2:2" x14ac:dyDescent="0.25">
      <c r="B4062"/>
    </row>
    <row r="4063" spans="2:2" x14ac:dyDescent="0.25">
      <c r="B4063"/>
    </row>
    <row r="4064" spans="2:2" x14ac:dyDescent="0.25">
      <c r="B4064"/>
    </row>
    <row r="4065" spans="2:2" x14ac:dyDescent="0.25">
      <c r="B4065"/>
    </row>
    <row r="4066" spans="2:2" x14ac:dyDescent="0.25">
      <c r="B4066"/>
    </row>
    <row r="4067" spans="2:2" x14ac:dyDescent="0.25">
      <c r="B4067"/>
    </row>
    <row r="4068" spans="2:2" x14ac:dyDescent="0.25">
      <c r="B4068"/>
    </row>
    <row r="4069" spans="2:2" x14ac:dyDescent="0.25">
      <c r="B4069"/>
    </row>
    <row r="4070" spans="2:2" x14ac:dyDescent="0.25">
      <c r="B4070"/>
    </row>
    <row r="4071" spans="2:2" x14ac:dyDescent="0.25">
      <c r="B4071"/>
    </row>
    <row r="4072" spans="2:2" x14ac:dyDescent="0.25">
      <c r="B4072"/>
    </row>
    <row r="4073" spans="2:2" x14ac:dyDescent="0.25">
      <c r="B4073"/>
    </row>
    <row r="4074" spans="2:2" x14ac:dyDescent="0.25">
      <c r="B4074"/>
    </row>
    <row r="4075" spans="2:2" x14ac:dyDescent="0.25">
      <c r="B4075"/>
    </row>
    <row r="4076" spans="2:2" x14ac:dyDescent="0.25">
      <c r="B4076"/>
    </row>
    <row r="4077" spans="2:2" x14ac:dyDescent="0.25">
      <c r="B4077"/>
    </row>
    <row r="4078" spans="2:2" x14ac:dyDescent="0.25">
      <c r="B4078"/>
    </row>
    <row r="4079" spans="2:2" x14ac:dyDescent="0.25">
      <c r="B4079"/>
    </row>
    <row r="4080" spans="2:2" x14ac:dyDescent="0.25">
      <c r="B4080"/>
    </row>
    <row r="4081" spans="2:2" x14ac:dyDescent="0.25">
      <c r="B4081"/>
    </row>
    <row r="4082" spans="2:2" x14ac:dyDescent="0.25">
      <c r="B4082"/>
    </row>
    <row r="4083" spans="2:2" x14ac:dyDescent="0.25">
      <c r="B4083"/>
    </row>
    <row r="4084" spans="2:2" x14ac:dyDescent="0.25">
      <c r="B4084"/>
    </row>
    <row r="4085" spans="2:2" x14ac:dyDescent="0.25">
      <c r="B4085"/>
    </row>
    <row r="4086" spans="2:2" x14ac:dyDescent="0.25">
      <c r="B4086"/>
    </row>
    <row r="4087" spans="2:2" x14ac:dyDescent="0.25">
      <c r="B4087"/>
    </row>
    <row r="4088" spans="2:2" x14ac:dyDescent="0.25">
      <c r="B4088"/>
    </row>
    <row r="4089" spans="2:2" x14ac:dyDescent="0.25">
      <c r="B4089"/>
    </row>
    <row r="4090" spans="2:2" x14ac:dyDescent="0.25">
      <c r="B4090"/>
    </row>
    <row r="4091" spans="2:2" x14ac:dyDescent="0.25">
      <c r="B4091"/>
    </row>
    <row r="4092" spans="2:2" x14ac:dyDescent="0.25">
      <c r="B4092"/>
    </row>
    <row r="4093" spans="2:2" x14ac:dyDescent="0.25">
      <c r="B4093"/>
    </row>
    <row r="4094" spans="2:2" x14ac:dyDescent="0.25">
      <c r="B4094"/>
    </row>
    <row r="4095" spans="2:2" x14ac:dyDescent="0.25">
      <c r="B4095"/>
    </row>
    <row r="4096" spans="2:2" x14ac:dyDescent="0.25">
      <c r="B4096"/>
    </row>
    <row r="4097" spans="2:2" x14ac:dyDescent="0.25">
      <c r="B4097"/>
    </row>
    <row r="4098" spans="2:2" x14ac:dyDescent="0.25">
      <c r="B4098"/>
    </row>
    <row r="4099" spans="2:2" x14ac:dyDescent="0.25">
      <c r="B4099"/>
    </row>
    <row r="4100" spans="2:2" x14ac:dyDescent="0.25">
      <c r="B4100"/>
    </row>
    <row r="4101" spans="2:2" x14ac:dyDescent="0.25">
      <c r="B4101"/>
    </row>
    <row r="4102" spans="2:2" x14ac:dyDescent="0.25">
      <c r="B4102"/>
    </row>
    <row r="4103" spans="2:2" x14ac:dyDescent="0.25">
      <c r="B4103"/>
    </row>
    <row r="4104" spans="2:2" x14ac:dyDescent="0.25">
      <c r="B4104"/>
    </row>
    <row r="4105" spans="2:2" x14ac:dyDescent="0.25">
      <c r="B4105"/>
    </row>
    <row r="4106" spans="2:2" x14ac:dyDescent="0.25">
      <c r="B4106"/>
    </row>
    <row r="4107" spans="2:2" x14ac:dyDescent="0.25">
      <c r="B4107"/>
    </row>
    <row r="4108" spans="2:2" x14ac:dyDescent="0.25">
      <c r="B4108"/>
    </row>
    <row r="4109" spans="2:2" x14ac:dyDescent="0.25">
      <c r="B4109"/>
    </row>
    <row r="4110" spans="2:2" x14ac:dyDescent="0.25">
      <c r="B4110"/>
    </row>
    <row r="4111" spans="2:2" x14ac:dyDescent="0.25">
      <c r="B4111"/>
    </row>
    <row r="4112" spans="2:2" x14ac:dyDescent="0.25">
      <c r="B4112"/>
    </row>
    <row r="4113" spans="2:2" x14ac:dyDescent="0.25">
      <c r="B4113"/>
    </row>
    <row r="4114" spans="2:2" x14ac:dyDescent="0.25">
      <c r="B4114"/>
    </row>
    <row r="4115" spans="2:2" x14ac:dyDescent="0.25">
      <c r="B4115"/>
    </row>
    <row r="4116" spans="2:2" x14ac:dyDescent="0.25">
      <c r="B4116"/>
    </row>
    <row r="4117" spans="2:2" x14ac:dyDescent="0.25">
      <c r="B4117"/>
    </row>
    <row r="4118" spans="2:2" x14ac:dyDescent="0.25">
      <c r="B4118"/>
    </row>
    <row r="4119" spans="2:2" x14ac:dyDescent="0.25">
      <c r="B4119"/>
    </row>
    <row r="4120" spans="2:2" x14ac:dyDescent="0.25">
      <c r="B4120"/>
    </row>
    <row r="4121" spans="2:2" x14ac:dyDescent="0.25">
      <c r="B4121"/>
    </row>
    <row r="4122" spans="2:2" x14ac:dyDescent="0.25">
      <c r="B4122"/>
    </row>
    <row r="4123" spans="2:2" x14ac:dyDescent="0.25">
      <c r="B4123"/>
    </row>
    <row r="4124" spans="2:2" x14ac:dyDescent="0.25">
      <c r="B4124"/>
    </row>
    <row r="4125" spans="2:2" x14ac:dyDescent="0.25">
      <c r="B4125"/>
    </row>
    <row r="4126" spans="2:2" x14ac:dyDescent="0.25">
      <c r="B4126"/>
    </row>
    <row r="4127" spans="2:2" x14ac:dyDescent="0.25">
      <c r="B4127"/>
    </row>
    <row r="4128" spans="2:2" x14ac:dyDescent="0.25">
      <c r="B4128"/>
    </row>
    <row r="4129" spans="2:2" x14ac:dyDescent="0.25">
      <c r="B4129"/>
    </row>
    <row r="4130" spans="2:2" x14ac:dyDescent="0.25">
      <c r="B4130"/>
    </row>
    <row r="4131" spans="2:2" x14ac:dyDescent="0.25">
      <c r="B4131"/>
    </row>
    <row r="4132" spans="2:2" x14ac:dyDescent="0.25">
      <c r="B4132"/>
    </row>
    <row r="4133" spans="2:2" x14ac:dyDescent="0.25">
      <c r="B4133"/>
    </row>
    <row r="4134" spans="2:2" x14ac:dyDescent="0.25">
      <c r="B4134"/>
    </row>
    <row r="4135" spans="2:2" x14ac:dyDescent="0.25">
      <c r="B4135"/>
    </row>
    <row r="4136" spans="2:2" x14ac:dyDescent="0.25">
      <c r="B4136"/>
    </row>
    <row r="4137" spans="2:2" x14ac:dyDescent="0.25">
      <c r="B4137"/>
    </row>
    <row r="4138" spans="2:2" x14ac:dyDescent="0.25">
      <c r="B4138"/>
    </row>
    <row r="4139" spans="2:2" x14ac:dyDescent="0.25">
      <c r="B4139"/>
    </row>
    <row r="4140" spans="2:2" x14ac:dyDescent="0.25">
      <c r="B4140"/>
    </row>
    <row r="4141" spans="2:2" x14ac:dyDescent="0.25">
      <c r="B4141"/>
    </row>
    <row r="4142" spans="2:2" x14ac:dyDescent="0.25">
      <c r="B4142"/>
    </row>
    <row r="4143" spans="2:2" x14ac:dyDescent="0.25">
      <c r="B4143"/>
    </row>
    <row r="4144" spans="2:2" x14ac:dyDescent="0.25">
      <c r="B4144"/>
    </row>
    <row r="4145" spans="2:2" x14ac:dyDescent="0.25">
      <c r="B4145"/>
    </row>
    <row r="4146" spans="2:2" x14ac:dyDescent="0.25">
      <c r="B4146"/>
    </row>
    <row r="4147" spans="2:2" x14ac:dyDescent="0.25">
      <c r="B4147"/>
    </row>
    <row r="4148" spans="2:2" x14ac:dyDescent="0.25">
      <c r="B4148"/>
    </row>
    <row r="4149" spans="2:2" x14ac:dyDescent="0.25">
      <c r="B4149"/>
    </row>
    <row r="4150" spans="2:2" x14ac:dyDescent="0.25">
      <c r="B4150"/>
    </row>
    <row r="4151" spans="2:2" x14ac:dyDescent="0.25">
      <c r="B4151"/>
    </row>
    <row r="4152" spans="2:2" x14ac:dyDescent="0.25">
      <c r="B4152"/>
    </row>
    <row r="4153" spans="2:2" x14ac:dyDescent="0.25">
      <c r="B4153"/>
    </row>
    <row r="4154" spans="2:2" x14ac:dyDescent="0.25">
      <c r="B4154"/>
    </row>
    <row r="4155" spans="2:2" x14ac:dyDescent="0.25">
      <c r="B4155"/>
    </row>
    <row r="4156" spans="2:2" x14ac:dyDescent="0.25">
      <c r="B4156"/>
    </row>
    <row r="4157" spans="2:2" x14ac:dyDescent="0.25">
      <c r="B4157"/>
    </row>
    <row r="4158" spans="2:2" x14ac:dyDescent="0.25">
      <c r="B4158"/>
    </row>
    <row r="4159" spans="2:2" x14ac:dyDescent="0.25">
      <c r="B4159"/>
    </row>
    <row r="4160" spans="2:2" x14ac:dyDescent="0.25">
      <c r="B4160"/>
    </row>
    <row r="4161" spans="2:2" x14ac:dyDescent="0.25">
      <c r="B4161"/>
    </row>
    <row r="4162" spans="2:2" x14ac:dyDescent="0.25">
      <c r="B4162"/>
    </row>
    <row r="4163" spans="2:2" x14ac:dyDescent="0.25">
      <c r="B4163"/>
    </row>
    <row r="4164" spans="2:2" x14ac:dyDescent="0.25">
      <c r="B4164"/>
    </row>
    <row r="4165" spans="2:2" x14ac:dyDescent="0.25">
      <c r="B4165"/>
    </row>
    <row r="4166" spans="2:2" x14ac:dyDescent="0.25">
      <c r="B4166"/>
    </row>
    <row r="4167" spans="2:2" x14ac:dyDescent="0.25">
      <c r="B4167"/>
    </row>
    <row r="4168" spans="2:2" x14ac:dyDescent="0.25">
      <c r="B4168"/>
    </row>
    <row r="4169" spans="2:2" x14ac:dyDescent="0.25">
      <c r="B4169"/>
    </row>
    <row r="4170" spans="2:2" x14ac:dyDescent="0.25">
      <c r="B4170"/>
    </row>
    <row r="4171" spans="2:2" x14ac:dyDescent="0.25">
      <c r="B4171"/>
    </row>
    <row r="4172" spans="2:2" x14ac:dyDescent="0.25">
      <c r="B4172"/>
    </row>
    <row r="4173" spans="2:2" x14ac:dyDescent="0.25">
      <c r="B4173"/>
    </row>
    <row r="4174" spans="2:2" x14ac:dyDescent="0.25">
      <c r="B4174"/>
    </row>
    <row r="4175" spans="2:2" x14ac:dyDescent="0.25">
      <c r="B4175"/>
    </row>
    <row r="4176" spans="2:2" x14ac:dyDescent="0.25">
      <c r="B4176"/>
    </row>
    <row r="4177" spans="2:2" x14ac:dyDescent="0.25">
      <c r="B4177"/>
    </row>
    <row r="4178" spans="2:2" x14ac:dyDescent="0.25">
      <c r="B4178"/>
    </row>
    <row r="4179" spans="2:2" x14ac:dyDescent="0.25">
      <c r="B4179"/>
    </row>
    <row r="4180" spans="2:2" x14ac:dyDescent="0.25">
      <c r="B4180"/>
    </row>
    <row r="4181" spans="2:2" x14ac:dyDescent="0.25">
      <c r="B4181"/>
    </row>
    <row r="4182" spans="2:2" x14ac:dyDescent="0.25">
      <c r="B4182"/>
    </row>
    <row r="4183" spans="2:2" x14ac:dyDescent="0.25">
      <c r="B4183"/>
    </row>
    <row r="4184" spans="2:2" x14ac:dyDescent="0.25">
      <c r="B4184"/>
    </row>
    <row r="4185" spans="2:2" x14ac:dyDescent="0.25">
      <c r="B4185"/>
    </row>
    <row r="4186" spans="2:2" x14ac:dyDescent="0.25">
      <c r="B4186"/>
    </row>
    <row r="4187" spans="2:2" x14ac:dyDescent="0.25">
      <c r="B4187"/>
    </row>
    <row r="4188" spans="2:2" x14ac:dyDescent="0.25">
      <c r="B4188"/>
    </row>
    <row r="4189" spans="2:2" x14ac:dyDescent="0.25">
      <c r="B4189"/>
    </row>
    <row r="4190" spans="2:2" x14ac:dyDescent="0.25">
      <c r="B4190"/>
    </row>
    <row r="4191" spans="2:2" x14ac:dyDescent="0.25">
      <c r="B4191"/>
    </row>
    <row r="4192" spans="2:2" x14ac:dyDescent="0.25">
      <c r="B4192"/>
    </row>
    <row r="4193" spans="2:2" x14ac:dyDescent="0.25">
      <c r="B4193"/>
    </row>
    <row r="4194" spans="2:2" x14ac:dyDescent="0.25">
      <c r="B4194"/>
    </row>
    <row r="4195" spans="2:2" x14ac:dyDescent="0.25">
      <c r="B4195"/>
    </row>
    <row r="4196" spans="2:2" x14ac:dyDescent="0.25">
      <c r="B4196"/>
    </row>
    <row r="4197" spans="2:2" x14ac:dyDescent="0.25">
      <c r="B4197"/>
    </row>
    <row r="4198" spans="2:2" x14ac:dyDescent="0.25">
      <c r="B4198"/>
    </row>
    <row r="4199" spans="2:2" x14ac:dyDescent="0.25">
      <c r="B4199"/>
    </row>
    <row r="4200" spans="2:2" x14ac:dyDescent="0.25">
      <c r="B4200"/>
    </row>
    <row r="4201" spans="2:2" x14ac:dyDescent="0.25">
      <c r="B4201"/>
    </row>
    <row r="4202" spans="2:2" x14ac:dyDescent="0.25">
      <c r="B4202"/>
    </row>
    <row r="4203" spans="2:2" x14ac:dyDescent="0.25">
      <c r="B4203"/>
    </row>
    <row r="4204" spans="2:2" x14ac:dyDescent="0.25">
      <c r="B4204"/>
    </row>
    <row r="4205" spans="2:2" x14ac:dyDescent="0.25">
      <c r="B4205"/>
    </row>
    <row r="4206" spans="2:2" x14ac:dyDescent="0.25">
      <c r="B4206"/>
    </row>
    <row r="4207" spans="2:2" x14ac:dyDescent="0.25">
      <c r="B4207"/>
    </row>
    <row r="4208" spans="2:2" x14ac:dyDescent="0.25">
      <c r="B4208"/>
    </row>
    <row r="4209" spans="2:2" x14ac:dyDescent="0.25">
      <c r="B4209"/>
    </row>
    <row r="4210" spans="2:2" x14ac:dyDescent="0.25">
      <c r="B4210"/>
    </row>
    <row r="4211" spans="2:2" x14ac:dyDescent="0.25">
      <c r="B4211"/>
    </row>
    <row r="4212" spans="2:2" x14ac:dyDescent="0.25">
      <c r="B4212"/>
    </row>
    <row r="4213" spans="2:2" x14ac:dyDescent="0.25">
      <c r="B4213"/>
    </row>
    <row r="4214" spans="2:2" x14ac:dyDescent="0.25">
      <c r="B4214"/>
    </row>
    <row r="4215" spans="2:2" x14ac:dyDescent="0.25">
      <c r="B4215"/>
    </row>
    <row r="4216" spans="2:2" x14ac:dyDescent="0.25">
      <c r="B4216"/>
    </row>
    <row r="4217" spans="2:2" x14ac:dyDescent="0.25">
      <c r="B4217"/>
    </row>
    <row r="4218" spans="2:2" x14ac:dyDescent="0.25">
      <c r="B4218"/>
    </row>
    <row r="4219" spans="2:2" x14ac:dyDescent="0.25">
      <c r="B4219"/>
    </row>
    <row r="4220" spans="2:2" x14ac:dyDescent="0.25">
      <c r="B4220"/>
    </row>
    <row r="4221" spans="2:2" x14ac:dyDescent="0.25">
      <c r="B4221"/>
    </row>
    <row r="4222" spans="2:2" x14ac:dyDescent="0.25">
      <c r="B4222"/>
    </row>
    <row r="4223" spans="2:2" x14ac:dyDescent="0.25">
      <c r="B4223"/>
    </row>
    <row r="4224" spans="2:2" x14ac:dyDescent="0.25">
      <c r="B4224"/>
    </row>
    <row r="4225" spans="2:2" x14ac:dyDescent="0.25">
      <c r="B4225"/>
    </row>
    <row r="4226" spans="2:2" x14ac:dyDescent="0.25">
      <c r="B4226"/>
    </row>
    <row r="4227" spans="2:2" x14ac:dyDescent="0.25">
      <c r="B4227"/>
    </row>
    <row r="4228" spans="2:2" x14ac:dyDescent="0.25">
      <c r="B4228"/>
    </row>
    <row r="4229" spans="2:2" x14ac:dyDescent="0.25">
      <c r="B4229"/>
    </row>
    <row r="4230" spans="2:2" x14ac:dyDescent="0.25">
      <c r="B4230"/>
    </row>
    <row r="4231" spans="2:2" x14ac:dyDescent="0.25">
      <c r="B4231"/>
    </row>
    <row r="4232" spans="2:2" x14ac:dyDescent="0.25">
      <c r="B4232"/>
    </row>
    <row r="4233" spans="2:2" x14ac:dyDescent="0.25">
      <c r="B4233"/>
    </row>
    <row r="4234" spans="2:2" x14ac:dyDescent="0.25">
      <c r="B4234"/>
    </row>
    <row r="4235" spans="2:2" x14ac:dyDescent="0.25">
      <c r="B4235"/>
    </row>
    <row r="4236" spans="2:2" x14ac:dyDescent="0.25">
      <c r="B4236"/>
    </row>
    <row r="4237" spans="2:2" x14ac:dyDescent="0.25">
      <c r="B4237"/>
    </row>
    <row r="4238" spans="2:2" x14ac:dyDescent="0.25">
      <c r="B4238"/>
    </row>
    <row r="4239" spans="2:2" x14ac:dyDescent="0.25">
      <c r="B4239"/>
    </row>
    <row r="4240" spans="2:2" x14ac:dyDescent="0.25">
      <c r="B4240"/>
    </row>
    <row r="4241" spans="2:2" x14ac:dyDescent="0.25">
      <c r="B4241"/>
    </row>
    <row r="4242" spans="2:2" x14ac:dyDescent="0.25">
      <c r="B4242"/>
    </row>
    <row r="4243" spans="2:2" x14ac:dyDescent="0.25">
      <c r="B4243"/>
    </row>
    <row r="4244" spans="2:2" x14ac:dyDescent="0.25">
      <c r="B4244"/>
    </row>
    <row r="4245" spans="2:2" x14ac:dyDescent="0.25">
      <c r="B4245"/>
    </row>
    <row r="4246" spans="2:2" x14ac:dyDescent="0.25">
      <c r="B4246"/>
    </row>
    <row r="4247" spans="2:2" x14ac:dyDescent="0.25">
      <c r="B4247"/>
    </row>
    <row r="4248" spans="2:2" x14ac:dyDescent="0.25">
      <c r="B4248"/>
    </row>
    <row r="4249" spans="2:2" x14ac:dyDescent="0.25">
      <c r="B4249"/>
    </row>
    <row r="4250" spans="2:2" x14ac:dyDescent="0.25">
      <c r="B4250"/>
    </row>
    <row r="4251" spans="2:2" x14ac:dyDescent="0.25">
      <c r="B4251"/>
    </row>
    <row r="4252" spans="2:2" x14ac:dyDescent="0.25">
      <c r="B4252"/>
    </row>
    <row r="4253" spans="2:2" x14ac:dyDescent="0.25">
      <c r="B4253"/>
    </row>
    <row r="4254" spans="2:2" x14ac:dyDescent="0.25">
      <c r="B4254"/>
    </row>
    <row r="4255" spans="2:2" x14ac:dyDescent="0.25">
      <c r="B4255"/>
    </row>
    <row r="4256" spans="2:2" x14ac:dyDescent="0.25">
      <c r="B4256"/>
    </row>
    <row r="4257" spans="2:2" x14ac:dyDescent="0.25">
      <c r="B4257"/>
    </row>
    <row r="4258" spans="2:2" x14ac:dyDescent="0.25">
      <c r="B4258"/>
    </row>
    <row r="4259" spans="2:2" x14ac:dyDescent="0.25">
      <c r="B4259"/>
    </row>
    <row r="4260" spans="2:2" x14ac:dyDescent="0.25">
      <c r="B4260"/>
    </row>
    <row r="4261" spans="2:2" x14ac:dyDescent="0.25">
      <c r="B4261"/>
    </row>
    <row r="4262" spans="2:2" x14ac:dyDescent="0.25">
      <c r="B4262"/>
    </row>
    <row r="4263" spans="2:2" x14ac:dyDescent="0.25">
      <c r="B4263"/>
    </row>
    <row r="4264" spans="2:2" x14ac:dyDescent="0.25">
      <c r="B4264"/>
    </row>
    <row r="4265" spans="2:2" x14ac:dyDescent="0.25">
      <c r="B4265"/>
    </row>
    <row r="4266" spans="2:2" x14ac:dyDescent="0.25">
      <c r="B4266"/>
    </row>
    <row r="4267" spans="2:2" x14ac:dyDescent="0.25">
      <c r="B4267"/>
    </row>
    <row r="4268" spans="2:2" x14ac:dyDescent="0.25">
      <c r="B4268"/>
    </row>
    <row r="4269" spans="2:2" x14ac:dyDescent="0.25">
      <c r="B4269"/>
    </row>
    <row r="4270" spans="2:2" x14ac:dyDescent="0.25">
      <c r="B4270"/>
    </row>
    <row r="4271" spans="2:2" x14ac:dyDescent="0.25">
      <c r="B4271"/>
    </row>
    <row r="4272" spans="2:2" x14ac:dyDescent="0.25">
      <c r="B4272"/>
    </row>
    <row r="4273" spans="2:2" x14ac:dyDescent="0.25">
      <c r="B4273"/>
    </row>
    <row r="4274" spans="2:2" x14ac:dyDescent="0.25">
      <c r="B4274"/>
    </row>
    <row r="4275" spans="2:2" x14ac:dyDescent="0.25">
      <c r="B4275"/>
    </row>
    <row r="4276" spans="2:2" x14ac:dyDescent="0.25">
      <c r="B4276"/>
    </row>
    <row r="4277" spans="2:2" x14ac:dyDescent="0.25">
      <c r="B4277"/>
    </row>
    <row r="4278" spans="2:2" x14ac:dyDescent="0.25">
      <c r="B4278"/>
    </row>
    <row r="4279" spans="2:2" x14ac:dyDescent="0.25">
      <c r="B4279"/>
    </row>
    <row r="4280" spans="2:2" x14ac:dyDescent="0.25">
      <c r="B4280"/>
    </row>
    <row r="4281" spans="2:2" x14ac:dyDescent="0.25">
      <c r="B4281"/>
    </row>
    <row r="4282" spans="2:2" x14ac:dyDescent="0.25">
      <c r="B4282"/>
    </row>
    <row r="4283" spans="2:2" x14ac:dyDescent="0.25">
      <c r="B4283"/>
    </row>
    <row r="4284" spans="2:2" x14ac:dyDescent="0.25">
      <c r="B4284"/>
    </row>
    <row r="4285" spans="2:2" x14ac:dyDescent="0.25">
      <c r="B4285"/>
    </row>
    <row r="4286" spans="2:2" x14ac:dyDescent="0.25">
      <c r="B4286"/>
    </row>
    <row r="4287" spans="2:2" x14ac:dyDescent="0.25">
      <c r="B4287"/>
    </row>
    <row r="4288" spans="2:2" x14ac:dyDescent="0.25">
      <c r="B4288"/>
    </row>
    <row r="4289" spans="2:2" x14ac:dyDescent="0.25">
      <c r="B4289"/>
    </row>
    <row r="4290" spans="2:2" x14ac:dyDescent="0.25">
      <c r="B4290"/>
    </row>
    <row r="4291" spans="2:2" x14ac:dyDescent="0.25">
      <c r="B4291"/>
    </row>
    <row r="4292" spans="2:2" x14ac:dyDescent="0.25">
      <c r="B4292"/>
    </row>
    <row r="4293" spans="2:2" x14ac:dyDescent="0.25">
      <c r="B4293"/>
    </row>
    <row r="4294" spans="2:2" x14ac:dyDescent="0.25">
      <c r="B4294"/>
    </row>
    <row r="4295" spans="2:2" x14ac:dyDescent="0.25">
      <c r="B4295"/>
    </row>
    <row r="4296" spans="2:2" x14ac:dyDescent="0.25">
      <c r="B4296"/>
    </row>
    <row r="4297" spans="2:2" x14ac:dyDescent="0.25">
      <c r="B4297"/>
    </row>
    <row r="4298" spans="2:2" x14ac:dyDescent="0.25">
      <c r="B4298"/>
    </row>
    <row r="4299" spans="2:2" x14ac:dyDescent="0.25">
      <c r="B4299"/>
    </row>
    <row r="4300" spans="2:2" x14ac:dyDescent="0.25">
      <c r="B4300"/>
    </row>
    <row r="4301" spans="2:2" x14ac:dyDescent="0.25">
      <c r="B4301"/>
    </row>
    <row r="4302" spans="2:2" x14ac:dyDescent="0.25">
      <c r="B4302"/>
    </row>
    <row r="4303" spans="2:2" x14ac:dyDescent="0.25">
      <c r="B4303"/>
    </row>
    <row r="4304" spans="2:2" x14ac:dyDescent="0.25">
      <c r="B4304"/>
    </row>
    <row r="4305" spans="2:2" x14ac:dyDescent="0.25">
      <c r="B4305"/>
    </row>
    <row r="4306" spans="2:2" x14ac:dyDescent="0.25">
      <c r="B4306"/>
    </row>
    <row r="4307" spans="2:2" x14ac:dyDescent="0.25">
      <c r="B4307"/>
    </row>
    <row r="4308" spans="2:2" x14ac:dyDescent="0.25">
      <c r="B4308"/>
    </row>
    <row r="4309" spans="2:2" x14ac:dyDescent="0.25">
      <c r="B4309"/>
    </row>
    <row r="4310" spans="2:2" x14ac:dyDescent="0.25">
      <c r="B4310"/>
    </row>
    <row r="4311" spans="2:2" x14ac:dyDescent="0.25">
      <c r="B4311"/>
    </row>
    <row r="4312" spans="2:2" x14ac:dyDescent="0.25">
      <c r="B4312"/>
    </row>
    <row r="4313" spans="2:2" x14ac:dyDescent="0.25">
      <c r="B4313"/>
    </row>
    <row r="4314" spans="2:2" x14ac:dyDescent="0.25">
      <c r="B4314"/>
    </row>
    <row r="4315" spans="2:2" x14ac:dyDescent="0.25">
      <c r="B4315"/>
    </row>
    <row r="4316" spans="2:2" x14ac:dyDescent="0.25">
      <c r="B4316"/>
    </row>
    <row r="4317" spans="2:2" x14ac:dyDescent="0.25">
      <c r="B4317"/>
    </row>
    <row r="4318" spans="2:2" x14ac:dyDescent="0.25">
      <c r="B4318"/>
    </row>
    <row r="4319" spans="2:2" x14ac:dyDescent="0.25">
      <c r="B4319"/>
    </row>
    <row r="4320" spans="2:2" x14ac:dyDescent="0.25">
      <c r="B4320"/>
    </row>
    <row r="4321" spans="2:2" x14ac:dyDescent="0.25">
      <c r="B4321"/>
    </row>
    <row r="4322" spans="2:2" x14ac:dyDescent="0.25">
      <c r="B4322"/>
    </row>
    <row r="4323" spans="2:2" x14ac:dyDescent="0.25">
      <c r="B4323"/>
    </row>
    <row r="4324" spans="2:2" x14ac:dyDescent="0.25">
      <c r="B4324"/>
    </row>
    <row r="4325" spans="2:2" x14ac:dyDescent="0.25">
      <c r="B4325"/>
    </row>
    <row r="4326" spans="2:2" x14ac:dyDescent="0.25">
      <c r="B4326"/>
    </row>
    <row r="4327" spans="2:2" x14ac:dyDescent="0.25">
      <c r="B4327"/>
    </row>
    <row r="4328" spans="2:2" x14ac:dyDescent="0.25">
      <c r="B4328"/>
    </row>
    <row r="4329" spans="2:2" x14ac:dyDescent="0.25">
      <c r="B4329"/>
    </row>
    <row r="4330" spans="2:2" x14ac:dyDescent="0.25">
      <c r="B4330"/>
    </row>
    <row r="4331" spans="2:2" x14ac:dyDescent="0.25">
      <c r="B4331"/>
    </row>
    <row r="4332" spans="2:2" x14ac:dyDescent="0.25">
      <c r="B4332"/>
    </row>
    <row r="4333" spans="2:2" x14ac:dyDescent="0.25">
      <c r="B4333"/>
    </row>
    <row r="4334" spans="2:2" x14ac:dyDescent="0.25">
      <c r="B4334"/>
    </row>
    <row r="4335" spans="2:2" x14ac:dyDescent="0.25">
      <c r="B4335"/>
    </row>
    <row r="4336" spans="2:2" x14ac:dyDescent="0.25">
      <c r="B4336"/>
    </row>
    <row r="4337" spans="2:2" x14ac:dyDescent="0.25">
      <c r="B4337"/>
    </row>
    <row r="4338" spans="2:2" x14ac:dyDescent="0.25">
      <c r="B4338"/>
    </row>
    <row r="4339" spans="2:2" x14ac:dyDescent="0.25">
      <c r="B4339"/>
    </row>
    <row r="4340" spans="2:2" x14ac:dyDescent="0.25">
      <c r="B4340"/>
    </row>
    <row r="4341" spans="2:2" x14ac:dyDescent="0.25">
      <c r="B4341"/>
    </row>
    <row r="4342" spans="2:2" x14ac:dyDescent="0.25">
      <c r="B4342"/>
    </row>
    <row r="4343" spans="2:2" x14ac:dyDescent="0.25">
      <c r="B4343"/>
    </row>
    <row r="4344" spans="2:2" x14ac:dyDescent="0.25">
      <c r="B4344"/>
    </row>
    <row r="4345" spans="2:2" x14ac:dyDescent="0.25">
      <c r="B4345"/>
    </row>
    <row r="4346" spans="2:2" x14ac:dyDescent="0.25">
      <c r="B4346"/>
    </row>
    <row r="4347" spans="2:2" x14ac:dyDescent="0.25">
      <c r="B4347"/>
    </row>
    <row r="4348" spans="2:2" x14ac:dyDescent="0.25">
      <c r="B4348"/>
    </row>
    <row r="4349" spans="2:2" x14ac:dyDescent="0.25">
      <c r="B4349"/>
    </row>
    <row r="4350" spans="2:2" x14ac:dyDescent="0.25">
      <c r="B4350"/>
    </row>
    <row r="4351" spans="2:2" x14ac:dyDescent="0.25">
      <c r="B4351"/>
    </row>
    <row r="4352" spans="2:2" x14ac:dyDescent="0.25">
      <c r="B4352"/>
    </row>
    <row r="4353" spans="2:2" x14ac:dyDescent="0.25">
      <c r="B4353"/>
    </row>
    <row r="4354" spans="2:2" x14ac:dyDescent="0.25">
      <c r="B4354"/>
    </row>
    <row r="4355" spans="2:2" x14ac:dyDescent="0.25">
      <c r="B4355"/>
    </row>
    <row r="4356" spans="2:2" x14ac:dyDescent="0.25">
      <c r="B4356"/>
    </row>
    <row r="4357" spans="2:2" x14ac:dyDescent="0.25">
      <c r="B4357"/>
    </row>
    <row r="4358" spans="2:2" x14ac:dyDescent="0.25">
      <c r="B4358"/>
    </row>
    <row r="4359" spans="2:2" x14ac:dyDescent="0.25">
      <c r="B4359"/>
    </row>
    <row r="4360" spans="2:2" x14ac:dyDescent="0.25">
      <c r="B4360"/>
    </row>
    <row r="4361" spans="2:2" x14ac:dyDescent="0.25">
      <c r="B4361"/>
    </row>
    <row r="4362" spans="2:2" x14ac:dyDescent="0.25">
      <c r="B4362"/>
    </row>
    <row r="4363" spans="2:2" x14ac:dyDescent="0.25">
      <c r="B4363"/>
    </row>
    <row r="4364" spans="2:2" x14ac:dyDescent="0.25">
      <c r="B4364"/>
    </row>
    <row r="4365" spans="2:2" x14ac:dyDescent="0.25">
      <c r="B4365"/>
    </row>
    <row r="4366" spans="2:2" x14ac:dyDescent="0.25">
      <c r="B4366"/>
    </row>
    <row r="4367" spans="2:2" x14ac:dyDescent="0.25">
      <c r="B4367"/>
    </row>
    <row r="4368" spans="2:2" x14ac:dyDescent="0.25">
      <c r="B4368"/>
    </row>
    <row r="4369" spans="2:2" x14ac:dyDescent="0.25">
      <c r="B4369"/>
    </row>
    <row r="4370" spans="2:2" x14ac:dyDescent="0.25">
      <c r="B4370"/>
    </row>
    <row r="4371" spans="2:2" x14ac:dyDescent="0.25">
      <c r="B4371"/>
    </row>
    <row r="4372" spans="2:2" x14ac:dyDescent="0.25">
      <c r="B4372"/>
    </row>
    <row r="4373" spans="2:2" x14ac:dyDescent="0.25">
      <c r="B4373"/>
    </row>
    <row r="4374" spans="2:2" x14ac:dyDescent="0.25">
      <c r="B4374"/>
    </row>
    <row r="4375" spans="2:2" x14ac:dyDescent="0.25">
      <c r="B4375"/>
    </row>
    <row r="4376" spans="2:2" x14ac:dyDescent="0.25">
      <c r="B4376"/>
    </row>
    <row r="4377" spans="2:2" x14ac:dyDescent="0.25">
      <c r="B4377"/>
    </row>
    <row r="4378" spans="2:2" x14ac:dyDescent="0.25">
      <c r="B4378"/>
    </row>
    <row r="4379" spans="2:2" x14ac:dyDescent="0.25">
      <c r="B4379"/>
    </row>
    <row r="4380" spans="2:2" x14ac:dyDescent="0.25">
      <c r="B4380"/>
    </row>
    <row r="4381" spans="2:2" x14ac:dyDescent="0.25">
      <c r="B4381"/>
    </row>
    <row r="4382" spans="2:2" x14ac:dyDescent="0.25">
      <c r="B4382"/>
    </row>
    <row r="4383" spans="2:2" x14ac:dyDescent="0.25">
      <c r="B4383"/>
    </row>
    <row r="4384" spans="2:2" x14ac:dyDescent="0.25">
      <c r="B4384"/>
    </row>
    <row r="4385" spans="2:2" x14ac:dyDescent="0.25">
      <c r="B4385"/>
    </row>
    <row r="4386" spans="2:2" x14ac:dyDescent="0.25">
      <c r="B4386"/>
    </row>
    <row r="4387" spans="2:2" x14ac:dyDescent="0.25">
      <c r="B4387"/>
    </row>
    <row r="4388" spans="2:2" x14ac:dyDescent="0.25">
      <c r="B4388"/>
    </row>
    <row r="4389" spans="2:2" x14ac:dyDescent="0.25">
      <c r="B4389"/>
    </row>
    <row r="4390" spans="2:2" x14ac:dyDescent="0.25">
      <c r="B4390"/>
    </row>
    <row r="4391" spans="2:2" x14ac:dyDescent="0.25">
      <c r="B4391"/>
    </row>
    <row r="4392" spans="2:2" x14ac:dyDescent="0.25">
      <c r="B4392"/>
    </row>
    <row r="4393" spans="2:2" x14ac:dyDescent="0.25">
      <c r="B4393"/>
    </row>
    <row r="4394" spans="2:2" x14ac:dyDescent="0.25">
      <c r="B4394"/>
    </row>
    <row r="4395" spans="2:2" x14ac:dyDescent="0.25">
      <c r="B4395"/>
    </row>
    <row r="4396" spans="2:2" x14ac:dyDescent="0.25">
      <c r="B4396"/>
    </row>
    <row r="4397" spans="2:2" x14ac:dyDescent="0.25">
      <c r="B4397"/>
    </row>
    <row r="4398" spans="2:2" x14ac:dyDescent="0.25">
      <c r="B4398"/>
    </row>
    <row r="4399" spans="2:2" x14ac:dyDescent="0.25">
      <c r="B4399"/>
    </row>
    <row r="4400" spans="2:2" x14ac:dyDescent="0.25">
      <c r="B4400"/>
    </row>
    <row r="4401" spans="2:2" x14ac:dyDescent="0.25">
      <c r="B4401"/>
    </row>
    <row r="4402" spans="2:2" x14ac:dyDescent="0.25">
      <c r="B4402"/>
    </row>
    <row r="4403" spans="2:2" x14ac:dyDescent="0.25">
      <c r="B4403"/>
    </row>
    <row r="4404" spans="2:2" x14ac:dyDescent="0.25">
      <c r="B4404"/>
    </row>
    <row r="4405" spans="2:2" x14ac:dyDescent="0.25">
      <c r="B4405"/>
    </row>
    <row r="4406" spans="2:2" x14ac:dyDescent="0.25">
      <c r="B4406"/>
    </row>
    <row r="4407" spans="2:2" x14ac:dyDescent="0.25">
      <c r="B4407"/>
    </row>
    <row r="4408" spans="2:2" x14ac:dyDescent="0.25">
      <c r="B4408"/>
    </row>
    <row r="4409" spans="2:2" x14ac:dyDescent="0.25">
      <c r="B4409"/>
    </row>
    <row r="4410" spans="2:2" x14ac:dyDescent="0.25">
      <c r="B4410"/>
    </row>
    <row r="4411" spans="2:2" x14ac:dyDescent="0.25">
      <c r="B4411"/>
    </row>
    <row r="4412" spans="2:2" x14ac:dyDescent="0.25">
      <c r="B4412"/>
    </row>
    <row r="4413" spans="2:2" x14ac:dyDescent="0.25">
      <c r="B4413"/>
    </row>
    <row r="4414" spans="2:2" x14ac:dyDescent="0.25">
      <c r="B4414"/>
    </row>
    <row r="4415" spans="2:2" x14ac:dyDescent="0.25">
      <c r="B4415"/>
    </row>
    <row r="4416" spans="2:2" x14ac:dyDescent="0.25">
      <c r="B4416"/>
    </row>
    <row r="4417" spans="2:2" x14ac:dyDescent="0.25">
      <c r="B4417"/>
    </row>
    <row r="4418" spans="2:2" x14ac:dyDescent="0.25">
      <c r="B4418"/>
    </row>
    <row r="4419" spans="2:2" x14ac:dyDescent="0.25">
      <c r="B4419"/>
    </row>
    <row r="4420" spans="2:2" x14ac:dyDescent="0.25">
      <c r="B4420"/>
    </row>
    <row r="4421" spans="2:2" x14ac:dyDescent="0.25">
      <c r="B4421"/>
    </row>
    <row r="4422" spans="2:2" x14ac:dyDescent="0.25">
      <c r="B4422"/>
    </row>
    <row r="4423" spans="2:2" x14ac:dyDescent="0.25">
      <c r="B4423"/>
    </row>
    <row r="4424" spans="2:2" x14ac:dyDescent="0.25">
      <c r="B4424"/>
    </row>
    <row r="4425" spans="2:2" x14ac:dyDescent="0.25">
      <c r="B4425"/>
    </row>
    <row r="4426" spans="2:2" x14ac:dyDescent="0.25">
      <c r="B4426"/>
    </row>
    <row r="4427" spans="2:2" x14ac:dyDescent="0.25">
      <c r="B4427"/>
    </row>
    <row r="4428" spans="2:2" x14ac:dyDescent="0.25">
      <c r="B4428"/>
    </row>
    <row r="4429" spans="2:2" x14ac:dyDescent="0.25">
      <c r="B4429"/>
    </row>
    <row r="4430" spans="2:2" x14ac:dyDescent="0.25">
      <c r="B4430"/>
    </row>
    <row r="4431" spans="2:2" x14ac:dyDescent="0.25">
      <c r="B4431"/>
    </row>
    <row r="4432" spans="2:2" x14ac:dyDescent="0.25">
      <c r="B4432"/>
    </row>
    <row r="4433" spans="2:2" x14ac:dyDescent="0.25">
      <c r="B4433"/>
    </row>
    <row r="4434" spans="2:2" x14ac:dyDescent="0.25">
      <c r="B4434"/>
    </row>
    <row r="4435" spans="2:2" x14ac:dyDescent="0.25">
      <c r="B4435"/>
    </row>
    <row r="4436" spans="2:2" x14ac:dyDescent="0.25">
      <c r="B4436"/>
    </row>
    <row r="4437" spans="2:2" x14ac:dyDescent="0.25">
      <c r="B4437"/>
    </row>
    <row r="4438" spans="2:2" x14ac:dyDescent="0.25">
      <c r="B4438"/>
    </row>
    <row r="4439" spans="2:2" x14ac:dyDescent="0.25">
      <c r="B4439"/>
    </row>
    <row r="4440" spans="2:2" x14ac:dyDescent="0.25">
      <c r="B4440"/>
    </row>
    <row r="4441" spans="2:2" x14ac:dyDescent="0.25">
      <c r="B4441"/>
    </row>
    <row r="4442" spans="2:2" x14ac:dyDescent="0.25">
      <c r="B4442"/>
    </row>
    <row r="4443" spans="2:2" x14ac:dyDescent="0.25">
      <c r="B4443"/>
    </row>
    <row r="4444" spans="2:2" x14ac:dyDescent="0.25">
      <c r="B4444"/>
    </row>
    <row r="4445" spans="2:2" x14ac:dyDescent="0.25">
      <c r="B4445"/>
    </row>
    <row r="4446" spans="2:2" x14ac:dyDescent="0.25">
      <c r="B4446"/>
    </row>
    <row r="4447" spans="2:2" x14ac:dyDescent="0.25">
      <c r="B4447"/>
    </row>
    <row r="4448" spans="2:2" x14ac:dyDescent="0.25">
      <c r="B4448"/>
    </row>
    <row r="4449" spans="2:2" x14ac:dyDescent="0.25">
      <c r="B4449"/>
    </row>
    <row r="4450" spans="2:2" x14ac:dyDescent="0.25">
      <c r="B4450"/>
    </row>
    <row r="4451" spans="2:2" x14ac:dyDescent="0.25">
      <c r="B4451"/>
    </row>
    <row r="4452" spans="2:2" x14ac:dyDescent="0.25">
      <c r="B4452"/>
    </row>
    <row r="4453" spans="2:2" x14ac:dyDescent="0.25">
      <c r="B4453"/>
    </row>
    <row r="4454" spans="2:2" x14ac:dyDescent="0.25">
      <c r="B4454"/>
    </row>
    <row r="4455" spans="2:2" x14ac:dyDescent="0.25">
      <c r="B4455"/>
    </row>
    <row r="4456" spans="2:2" x14ac:dyDescent="0.25">
      <c r="B4456"/>
    </row>
    <row r="4457" spans="2:2" x14ac:dyDescent="0.25">
      <c r="B4457"/>
    </row>
    <row r="4458" spans="2:2" x14ac:dyDescent="0.25">
      <c r="B4458"/>
    </row>
    <row r="4459" spans="2:2" x14ac:dyDescent="0.25">
      <c r="B4459"/>
    </row>
    <row r="4460" spans="2:2" x14ac:dyDescent="0.25">
      <c r="B4460"/>
    </row>
    <row r="4461" spans="2:2" x14ac:dyDescent="0.25">
      <c r="B4461"/>
    </row>
    <row r="4462" spans="2:2" x14ac:dyDescent="0.25">
      <c r="B4462"/>
    </row>
    <row r="4463" spans="2:2" x14ac:dyDescent="0.25">
      <c r="B4463"/>
    </row>
    <row r="4464" spans="2:2" x14ac:dyDescent="0.25">
      <c r="B4464"/>
    </row>
    <row r="4465" spans="2:2" x14ac:dyDescent="0.25">
      <c r="B4465"/>
    </row>
    <row r="4466" spans="2:2" x14ac:dyDescent="0.25">
      <c r="B4466"/>
    </row>
    <row r="4467" spans="2:2" x14ac:dyDescent="0.25">
      <c r="B4467"/>
    </row>
    <row r="4468" spans="2:2" x14ac:dyDescent="0.25">
      <c r="B4468"/>
    </row>
    <row r="4469" spans="2:2" x14ac:dyDescent="0.25">
      <c r="B4469"/>
    </row>
    <row r="4470" spans="2:2" x14ac:dyDescent="0.25">
      <c r="B4470"/>
    </row>
    <row r="4471" spans="2:2" x14ac:dyDescent="0.25">
      <c r="B4471"/>
    </row>
    <row r="4472" spans="2:2" x14ac:dyDescent="0.25">
      <c r="B4472"/>
    </row>
    <row r="4473" spans="2:2" x14ac:dyDescent="0.25">
      <c r="B4473"/>
    </row>
    <row r="4474" spans="2:2" x14ac:dyDescent="0.25">
      <c r="B4474"/>
    </row>
    <row r="4475" spans="2:2" x14ac:dyDescent="0.25">
      <c r="B4475"/>
    </row>
    <row r="4476" spans="2:2" x14ac:dyDescent="0.25">
      <c r="B4476"/>
    </row>
    <row r="4477" spans="2:2" x14ac:dyDescent="0.25">
      <c r="B4477"/>
    </row>
    <row r="4478" spans="2:2" x14ac:dyDescent="0.25">
      <c r="B4478"/>
    </row>
    <row r="4479" spans="2:2" x14ac:dyDescent="0.25">
      <c r="B4479"/>
    </row>
    <row r="4480" spans="2:2" x14ac:dyDescent="0.25">
      <c r="B4480"/>
    </row>
    <row r="4481" spans="2:2" x14ac:dyDescent="0.25">
      <c r="B4481"/>
    </row>
    <row r="4482" spans="2:2" x14ac:dyDescent="0.25">
      <c r="B4482"/>
    </row>
    <row r="4483" spans="2:2" x14ac:dyDescent="0.25">
      <c r="B4483"/>
    </row>
    <row r="4484" spans="2:2" x14ac:dyDescent="0.25">
      <c r="B4484"/>
    </row>
    <row r="4485" spans="2:2" x14ac:dyDescent="0.25">
      <c r="B4485"/>
    </row>
    <row r="4486" spans="2:2" x14ac:dyDescent="0.25">
      <c r="B4486"/>
    </row>
    <row r="4487" spans="2:2" x14ac:dyDescent="0.25">
      <c r="B4487"/>
    </row>
    <row r="4488" spans="2:2" x14ac:dyDescent="0.25">
      <c r="B4488"/>
    </row>
    <row r="4489" spans="2:2" x14ac:dyDescent="0.25">
      <c r="B4489"/>
    </row>
    <row r="4490" spans="2:2" x14ac:dyDescent="0.25">
      <c r="B4490"/>
    </row>
    <row r="4491" spans="2:2" x14ac:dyDescent="0.25">
      <c r="B4491"/>
    </row>
    <row r="4492" spans="2:2" x14ac:dyDescent="0.25">
      <c r="B4492"/>
    </row>
    <row r="4493" spans="2:2" x14ac:dyDescent="0.25">
      <c r="B4493"/>
    </row>
    <row r="4494" spans="2:2" x14ac:dyDescent="0.25">
      <c r="B4494"/>
    </row>
    <row r="4495" spans="2:2" x14ac:dyDescent="0.25">
      <c r="B4495"/>
    </row>
    <row r="4496" spans="2:2" x14ac:dyDescent="0.25">
      <c r="B4496"/>
    </row>
    <row r="4497" spans="2:2" x14ac:dyDescent="0.25">
      <c r="B4497"/>
    </row>
    <row r="4498" spans="2:2" x14ac:dyDescent="0.25">
      <c r="B4498"/>
    </row>
    <row r="4499" spans="2:2" x14ac:dyDescent="0.25">
      <c r="B4499"/>
    </row>
    <row r="4500" spans="2:2" x14ac:dyDescent="0.25">
      <c r="B4500"/>
    </row>
    <row r="4501" spans="2:2" x14ac:dyDescent="0.25">
      <c r="B4501"/>
    </row>
    <row r="4502" spans="2:2" x14ac:dyDescent="0.25">
      <c r="B4502"/>
    </row>
    <row r="4503" spans="2:2" x14ac:dyDescent="0.25">
      <c r="B4503"/>
    </row>
    <row r="4504" spans="2:2" x14ac:dyDescent="0.25">
      <c r="B4504"/>
    </row>
    <row r="4505" spans="2:2" x14ac:dyDescent="0.25">
      <c r="B4505"/>
    </row>
    <row r="4506" spans="2:2" x14ac:dyDescent="0.25">
      <c r="B4506"/>
    </row>
    <row r="4507" spans="2:2" x14ac:dyDescent="0.25">
      <c r="B4507"/>
    </row>
    <row r="4508" spans="2:2" x14ac:dyDescent="0.25">
      <c r="B4508"/>
    </row>
    <row r="4509" spans="2:2" x14ac:dyDescent="0.25">
      <c r="B4509"/>
    </row>
    <row r="4510" spans="2:2" x14ac:dyDescent="0.25">
      <c r="B4510"/>
    </row>
    <row r="4511" spans="2:2" x14ac:dyDescent="0.25">
      <c r="B4511"/>
    </row>
    <row r="4512" spans="2:2" x14ac:dyDescent="0.25">
      <c r="B4512"/>
    </row>
    <row r="4513" spans="2:2" x14ac:dyDescent="0.25">
      <c r="B4513"/>
    </row>
    <row r="4514" spans="2:2" x14ac:dyDescent="0.25">
      <c r="B4514"/>
    </row>
    <row r="4515" spans="2:2" x14ac:dyDescent="0.25">
      <c r="B4515"/>
    </row>
    <row r="4516" spans="2:2" x14ac:dyDescent="0.25">
      <c r="B4516"/>
    </row>
    <row r="4517" spans="2:2" x14ac:dyDescent="0.25">
      <c r="B4517"/>
    </row>
    <row r="4518" spans="2:2" x14ac:dyDescent="0.25">
      <c r="B4518"/>
    </row>
    <row r="4519" spans="2:2" x14ac:dyDescent="0.25">
      <c r="B4519"/>
    </row>
    <row r="4520" spans="2:2" x14ac:dyDescent="0.25">
      <c r="B4520"/>
    </row>
    <row r="4521" spans="2:2" x14ac:dyDescent="0.25">
      <c r="B4521"/>
    </row>
    <row r="4522" spans="2:2" x14ac:dyDescent="0.25">
      <c r="B4522"/>
    </row>
    <row r="4523" spans="2:2" x14ac:dyDescent="0.25">
      <c r="B4523"/>
    </row>
    <row r="4524" spans="2:2" x14ac:dyDescent="0.25">
      <c r="B4524"/>
    </row>
    <row r="4525" spans="2:2" x14ac:dyDescent="0.25">
      <c r="B4525"/>
    </row>
    <row r="4526" spans="2:2" x14ac:dyDescent="0.25">
      <c r="B4526"/>
    </row>
    <row r="4527" spans="2:2" x14ac:dyDescent="0.25">
      <c r="B4527"/>
    </row>
    <row r="4528" spans="2:2" x14ac:dyDescent="0.25">
      <c r="B4528"/>
    </row>
    <row r="4529" spans="2:2" x14ac:dyDescent="0.25">
      <c r="B4529"/>
    </row>
    <row r="4530" spans="2:2" x14ac:dyDescent="0.25">
      <c r="B4530"/>
    </row>
    <row r="4531" spans="2:2" x14ac:dyDescent="0.25">
      <c r="B4531"/>
    </row>
    <row r="4532" spans="2:2" x14ac:dyDescent="0.25">
      <c r="B4532"/>
    </row>
    <row r="4533" spans="2:2" x14ac:dyDescent="0.25">
      <c r="B4533"/>
    </row>
    <row r="4534" spans="2:2" x14ac:dyDescent="0.25">
      <c r="B4534"/>
    </row>
    <row r="4535" spans="2:2" x14ac:dyDescent="0.25">
      <c r="B4535"/>
    </row>
    <row r="4536" spans="2:2" x14ac:dyDescent="0.25">
      <c r="B4536"/>
    </row>
    <row r="4537" spans="2:2" x14ac:dyDescent="0.25">
      <c r="B4537"/>
    </row>
    <row r="4538" spans="2:2" x14ac:dyDescent="0.25">
      <c r="B4538"/>
    </row>
    <row r="4539" spans="2:2" x14ac:dyDescent="0.25">
      <c r="B4539"/>
    </row>
    <row r="4540" spans="2:2" x14ac:dyDescent="0.25">
      <c r="B4540"/>
    </row>
    <row r="4541" spans="2:2" x14ac:dyDescent="0.25">
      <c r="B4541"/>
    </row>
    <row r="4542" spans="2:2" x14ac:dyDescent="0.25">
      <c r="B4542"/>
    </row>
    <row r="4543" spans="2:2" x14ac:dyDescent="0.25">
      <c r="B4543"/>
    </row>
    <row r="4544" spans="2:2" x14ac:dyDescent="0.25">
      <c r="B4544"/>
    </row>
    <row r="4545" spans="2:2" x14ac:dyDescent="0.25">
      <c r="B4545"/>
    </row>
    <row r="4546" spans="2:2" x14ac:dyDescent="0.25">
      <c r="B4546"/>
    </row>
    <row r="4547" spans="2:2" x14ac:dyDescent="0.25">
      <c r="B4547"/>
    </row>
    <row r="4548" spans="2:2" x14ac:dyDescent="0.25">
      <c r="B4548"/>
    </row>
    <row r="4549" spans="2:2" x14ac:dyDescent="0.25">
      <c r="B4549"/>
    </row>
    <row r="4550" spans="2:2" x14ac:dyDescent="0.25">
      <c r="B4550"/>
    </row>
    <row r="4551" spans="2:2" x14ac:dyDescent="0.25">
      <c r="B4551"/>
    </row>
    <row r="4552" spans="2:2" x14ac:dyDescent="0.25">
      <c r="B4552"/>
    </row>
    <row r="4553" spans="2:2" x14ac:dyDescent="0.25">
      <c r="B4553"/>
    </row>
    <row r="4554" spans="2:2" x14ac:dyDescent="0.25">
      <c r="B4554"/>
    </row>
    <row r="4555" spans="2:2" x14ac:dyDescent="0.25">
      <c r="B4555"/>
    </row>
    <row r="4556" spans="2:2" x14ac:dyDescent="0.25">
      <c r="B4556"/>
    </row>
    <row r="4557" spans="2:2" x14ac:dyDescent="0.25">
      <c r="B4557"/>
    </row>
    <row r="4558" spans="2:2" x14ac:dyDescent="0.25">
      <c r="B4558"/>
    </row>
    <row r="4559" spans="2:2" x14ac:dyDescent="0.25">
      <c r="B4559"/>
    </row>
    <row r="4560" spans="2:2" x14ac:dyDescent="0.25">
      <c r="B4560"/>
    </row>
    <row r="4561" spans="2:2" x14ac:dyDescent="0.25">
      <c r="B4561"/>
    </row>
    <row r="4562" spans="2:2" x14ac:dyDescent="0.25">
      <c r="B4562"/>
    </row>
    <row r="4563" spans="2:2" x14ac:dyDescent="0.25">
      <c r="B4563"/>
    </row>
    <row r="4564" spans="2:2" x14ac:dyDescent="0.25">
      <c r="B4564"/>
    </row>
    <row r="4565" spans="2:2" x14ac:dyDescent="0.25">
      <c r="B4565"/>
    </row>
    <row r="4566" spans="2:2" x14ac:dyDescent="0.25">
      <c r="B4566"/>
    </row>
    <row r="4567" spans="2:2" x14ac:dyDescent="0.25">
      <c r="B4567"/>
    </row>
    <row r="4568" spans="2:2" x14ac:dyDescent="0.25">
      <c r="B4568"/>
    </row>
    <row r="4569" spans="2:2" x14ac:dyDescent="0.25">
      <c r="B4569"/>
    </row>
    <row r="4570" spans="2:2" x14ac:dyDescent="0.25">
      <c r="B4570"/>
    </row>
    <row r="4571" spans="2:2" x14ac:dyDescent="0.25">
      <c r="B4571"/>
    </row>
    <row r="4572" spans="2:2" x14ac:dyDescent="0.25">
      <c r="B4572"/>
    </row>
    <row r="4573" spans="2:2" x14ac:dyDescent="0.25">
      <c r="B4573"/>
    </row>
    <row r="4574" spans="2:2" x14ac:dyDescent="0.25">
      <c r="B4574"/>
    </row>
    <row r="4575" spans="2:2" x14ac:dyDescent="0.25">
      <c r="B4575"/>
    </row>
    <row r="4576" spans="2:2" x14ac:dyDescent="0.25">
      <c r="B4576"/>
    </row>
    <row r="4577" spans="2:2" x14ac:dyDescent="0.25">
      <c r="B4577"/>
    </row>
    <row r="4578" spans="2:2" x14ac:dyDescent="0.25">
      <c r="B4578"/>
    </row>
    <row r="4579" spans="2:2" x14ac:dyDescent="0.25">
      <c r="B4579"/>
    </row>
    <row r="4580" spans="2:2" x14ac:dyDescent="0.25">
      <c r="B4580"/>
    </row>
    <row r="4581" spans="2:2" x14ac:dyDescent="0.25">
      <c r="B4581"/>
    </row>
    <row r="4582" spans="2:2" x14ac:dyDescent="0.25">
      <c r="B4582"/>
    </row>
    <row r="4583" spans="2:2" x14ac:dyDescent="0.25">
      <c r="B4583"/>
    </row>
    <row r="4584" spans="2:2" x14ac:dyDescent="0.25">
      <c r="B4584"/>
    </row>
    <row r="4585" spans="2:2" x14ac:dyDescent="0.25">
      <c r="B4585"/>
    </row>
    <row r="4586" spans="2:2" x14ac:dyDescent="0.25">
      <c r="B4586"/>
    </row>
    <row r="4587" spans="2:2" x14ac:dyDescent="0.25">
      <c r="B4587"/>
    </row>
    <row r="4588" spans="2:2" x14ac:dyDescent="0.25">
      <c r="B4588"/>
    </row>
    <row r="4589" spans="2:2" x14ac:dyDescent="0.25">
      <c r="B4589"/>
    </row>
    <row r="4590" spans="2:2" x14ac:dyDescent="0.25">
      <c r="B4590"/>
    </row>
    <row r="4591" spans="2:2" x14ac:dyDescent="0.25">
      <c r="B4591"/>
    </row>
    <row r="4592" spans="2:2" x14ac:dyDescent="0.25">
      <c r="B4592"/>
    </row>
    <row r="4593" spans="2:2" x14ac:dyDescent="0.25">
      <c r="B4593"/>
    </row>
    <row r="4594" spans="2:2" x14ac:dyDescent="0.25">
      <c r="B4594"/>
    </row>
    <row r="4595" spans="2:2" x14ac:dyDescent="0.25">
      <c r="B4595"/>
    </row>
    <row r="4596" spans="2:2" x14ac:dyDescent="0.25">
      <c r="B4596"/>
    </row>
    <row r="4597" spans="2:2" x14ac:dyDescent="0.25">
      <c r="B4597"/>
    </row>
    <row r="4598" spans="2:2" x14ac:dyDescent="0.25">
      <c r="B4598"/>
    </row>
    <row r="4599" spans="2:2" x14ac:dyDescent="0.25">
      <c r="B4599"/>
    </row>
    <row r="4600" spans="2:2" x14ac:dyDescent="0.25">
      <c r="B4600"/>
    </row>
    <row r="4601" spans="2:2" x14ac:dyDescent="0.25">
      <c r="B4601"/>
    </row>
    <row r="4602" spans="2:2" x14ac:dyDescent="0.25">
      <c r="B4602"/>
    </row>
    <row r="4603" spans="2:2" x14ac:dyDescent="0.25">
      <c r="B4603"/>
    </row>
    <row r="4604" spans="2:2" x14ac:dyDescent="0.25">
      <c r="B4604"/>
    </row>
    <row r="4605" spans="2:2" x14ac:dyDescent="0.25">
      <c r="B4605"/>
    </row>
    <row r="4606" spans="2:2" x14ac:dyDescent="0.25">
      <c r="B4606"/>
    </row>
    <row r="4607" spans="2:2" x14ac:dyDescent="0.25">
      <c r="B4607"/>
    </row>
    <row r="4608" spans="2:2" x14ac:dyDescent="0.25">
      <c r="B4608"/>
    </row>
    <row r="4609" spans="2:2" x14ac:dyDescent="0.25">
      <c r="B4609"/>
    </row>
    <row r="4610" spans="2:2" x14ac:dyDescent="0.25">
      <c r="B4610"/>
    </row>
    <row r="4611" spans="2:2" x14ac:dyDescent="0.25">
      <c r="B4611"/>
    </row>
    <row r="4612" spans="2:2" x14ac:dyDescent="0.25">
      <c r="B4612"/>
    </row>
    <row r="4613" spans="2:2" x14ac:dyDescent="0.25">
      <c r="B4613"/>
    </row>
    <row r="4614" spans="2:2" x14ac:dyDescent="0.25">
      <c r="B4614"/>
    </row>
    <row r="4615" spans="2:2" x14ac:dyDescent="0.25">
      <c r="B4615"/>
    </row>
    <row r="4616" spans="2:2" x14ac:dyDescent="0.25">
      <c r="B4616"/>
    </row>
    <row r="4617" spans="2:2" x14ac:dyDescent="0.25">
      <c r="B4617"/>
    </row>
    <row r="4618" spans="2:2" x14ac:dyDescent="0.25">
      <c r="B4618"/>
    </row>
    <row r="4619" spans="2:2" x14ac:dyDescent="0.25">
      <c r="B4619"/>
    </row>
    <row r="4620" spans="2:2" x14ac:dyDescent="0.25">
      <c r="B4620"/>
    </row>
    <row r="4621" spans="2:2" x14ac:dyDescent="0.25">
      <c r="B4621"/>
    </row>
    <row r="4622" spans="2:2" x14ac:dyDescent="0.25">
      <c r="B4622"/>
    </row>
    <row r="4623" spans="2:2" x14ac:dyDescent="0.25">
      <c r="B4623"/>
    </row>
    <row r="4624" spans="2:2" x14ac:dyDescent="0.25">
      <c r="B4624"/>
    </row>
    <row r="4625" spans="2:2" x14ac:dyDescent="0.25">
      <c r="B4625"/>
    </row>
    <row r="4626" spans="2:2" x14ac:dyDescent="0.25">
      <c r="B4626"/>
    </row>
    <row r="4627" spans="2:2" x14ac:dyDescent="0.25">
      <c r="B4627"/>
    </row>
    <row r="4628" spans="2:2" x14ac:dyDescent="0.25">
      <c r="B4628"/>
    </row>
    <row r="4629" spans="2:2" x14ac:dyDescent="0.25">
      <c r="B4629"/>
    </row>
    <row r="4630" spans="2:2" x14ac:dyDescent="0.25">
      <c r="B4630"/>
    </row>
    <row r="4631" spans="2:2" x14ac:dyDescent="0.25">
      <c r="B4631"/>
    </row>
    <row r="4632" spans="2:2" x14ac:dyDescent="0.25">
      <c r="B4632"/>
    </row>
    <row r="4633" spans="2:2" x14ac:dyDescent="0.25">
      <c r="B4633"/>
    </row>
    <row r="4634" spans="2:2" x14ac:dyDescent="0.25">
      <c r="B4634"/>
    </row>
    <row r="4635" spans="2:2" x14ac:dyDescent="0.25">
      <c r="B4635"/>
    </row>
    <row r="4636" spans="2:2" x14ac:dyDescent="0.25">
      <c r="B4636"/>
    </row>
    <row r="4637" spans="2:2" x14ac:dyDescent="0.25">
      <c r="B4637"/>
    </row>
    <row r="4638" spans="2:2" x14ac:dyDescent="0.25">
      <c r="B4638"/>
    </row>
    <row r="4639" spans="2:2" x14ac:dyDescent="0.25">
      <c r="B4639"/>
    </row>
    <row r="4640" spans="2:2" x14ac:dyDescent="0.25">
      <c r="B4640"/>
    </row>
    <row r="4641" spans="2:2" x14ac:dyDescent="0.25">
      <c r="B4641"/>
    </row>
    <row r="4642" spans="2:2" x14ac:dyDescent="0.25">
      <c r="B4642"/>
    </row>
    <row r="4643" spans="2:2" x14ac:dyDescent="0.25">
      <c r="B4643"/>
    </row>
    <row r="4644" spans="2:2" x14ac:dyDescent="0.25">
      <c r="B4644"/>
    </row>
    <row r="4645" spans="2:2" x14ac:dyDescent="0.25">
      <c r="B4645"/>
    </row>
    <row r="4646" spans="2:2" x14ac:dyDescent="0.25">
      <c r="B4646"/>
    </row>
    <row r="4647" spans="2:2" x14ac:dyDescent="0.25">
      <c r="B4647"/>
    </row>
    <row r="4648" spans="2:2" x14ac:dyDescent="0.25">
      <c r="B4648"/>
    </row>
    <row r="4649" spans="2:2" x14ac:dyDescent="0.25">
      <c r="B4649"/>
    </row>
    <row r="4650" spans="2:2" x14ac:dyDescent="0.25">
      <c r="B4650"/>
    </row>
    <row r="4651" spans="2:2" x14ac:dyDescent="0.25">
      <c r="B4651"/>
    </row>
    <row r="4652" spans="2:2" x14ac:dyDescent="0.25">
      <c r="B4652"/>
    </row>
    <row r="4653" spans="2:2" x14ac:dyDescent="0.25">
      <c r="B4653"/>
    </row>
    <row r="4654" spans="2:2" x14ac:dyDescent="0.25">
      <c r="B4654"/>
    </row>
    <row r="4655" spans="2:2" x14ac:dyDescent="0.25">
      <c r="B4655"/>
    </row>
    <row r="4656" spans="2:2" x14ac:dyDescent="0.25">
      <c r="B4656"/>
    </row>
    <row r="4657" spans="2:2" x14ac:dyDescent="0.25">
      <c r="B4657"/>
    </row>
    <row r="4658" spans="2:2" x14ac:dyDescent="0.25">
      <c r="B4658"/>
    </row>
    <row r="4659" spans="2:2" x14ac:dyDescent="0.25">
      <c r="B4659"/>
    </row>
    <row r="4660" spans="2:2" x14ac:dyDescent="0.25">
      <c r="B4660"/>
    </row>
    <row r="4661" spans="2:2" x14ac:dyDescent="0.25">
      <c r="B4661"/>
    </row>
    <row r="4662" spans="2:2" x14ac:dyDescent="0.25">
      <c r="B4662"/>
    </row>
    <row r="4663" spans="2:2" x14ac:dyDescent="0.25">
      <c r="B4663"/>
    </row>
    <row r="4664" spans="2:2" x14ac:dyDescent="0.25">
      <c r="B4664"/>
    </row>
    <row r="4665" spans="2:2" x14ac:dyDescent="0.25">
      <c r="B4665"/>
    </row>
    <row r="4666" spans="2:2" x14ac:dyDescent="0.25">
      <c r="B4666"/>
    </row>
    <row r="4667" spans="2:2" x14ac:dyDescent="0.25">
      <c r="B4667"/>
    </row>
    <row r="4668" spans="2:2" x14ac:dyDescent="0.25">
      <c r="B4668"/>
    </row>
    <row r="4669" spans="2:2" x14ac:dyDescent="0.25">
      <c r="B4669"/>
    </row>
    <row r="4670" spans="2:2" x14ac:dyDescent="0.25">
      <c r="B4670"/>
    </row>
    <row r="4671" spans="2:2" x14ac:dyDescent="0.25">
      <c r="B4671"/>
    </row>
    <row r="4672" spans="2:2" x14ac:dyDescent="0.25">
      <c r="B4672"/>
    </row>
    <row r="4673" spans="2:2" x14ac:dyDescent="0.25">
      <c r="B4673"/>
    </row>
    <row r="4674" spans="2:2" x14ac:dyDescent="0.25">
      <c r="B4674"/>
    </row>
    <row r="4675" spans="2:2" x14ac:dyDescent="0.25">
      <c r="B4675"/>
    </row>
    <row r="4676" spans="2:2" x14ac:dyDescent="0.25">
      <c r="B4676"/>
    </row>
    <row r="4677" spans="2:2" x14ac:dyDescent="0.25">
      <c r="B4677"/>
    </row>
    <row r="4678" spans="2:2" x14ac:dyDescent="0.25">
      <c r="B4678"/>
    </row>
    <row r="4679" spans="2:2" x14ac:dyDescent="0.25">
      <c r="B4679"/>
    </row>
    <row r="4680" spans="2:2" x14ac:dyDescent="0.25">
      <c r="B4680"/>
    </row>
    <row r="4681" spans="2:2" x14ac:dyDescent="0.25">
      <c r="B4681"/>
    </row>
    <row r="4682" spans="2:2" x14ac:dyDescent="0.25">
      <c r="B4682"/>
    </row>
    <row r="4683" spans="2:2" x14ac:dyDescent="0.25">
      <c r="B4683"/>
    </row>
    <row r="4684" spans="2:2" x14ac:dyDescent="0.25">
      <c r="B4684"/>
    </row>
    <row r="4685" spans="2:2" x14ac:dyDescent="0.25">
      <c r="B4685"/>
    </row>
    <row r="4686" spans="2:2" x14ac:dyDescent="0.25">
      <c r="B4686"/>
    </row>
    <row r="4687" spans="2:2" x14ac:dyDescent="0.25">
      <c r="B4687"/>
    </row>
    <row r="4688" spans="2:2" x14ac:dyDescent="0.25">
      <c r="B4688"/>
    </row>
    <row r="4689" spans="2:2" x14ac:dyDescent="0.25">
      <c r="B4689"/>
    </row>
    <row r="4690" spans="2:2" x14ac:dyDescent="0.25">
      <c r="B4690"/>
    </row>
    <row r="4691" spans="2:2" x14ac:dyDescent="0.25">
      <c r="B4691"/>
    </row>
    <row r="4692" spans="2:2" x14ac:dyDescent="0.25">
      <c r="B4692"/>
    </row>
    <row r="4693" spans="2:2" x14ac:dyDescent="0.25">
      <c r="B4693"/>
    </row>
    <row r="4694" spans="2:2" x14ac:dyDescent="0.25">
      <c r="B4694"/>
    </row>
    <row r="4695" spans="2:2" x14ac:dyDescent="0.25">
      <c r="B4695"/>
    </row>
    <row r="4696" spans="2:2" x14ac:dyDescent="0.25">
      <c r="B4696"/>
    </row>
    <row r="4697" spans="2:2" x14ac:dyDescent="0.25">
      <c r="B4697"/>
    </row>
    <row r="4698" spans="2:2" x14ac:dyDescent="0.25">
      <c r="B4698"/>
    </row>
    <row r="4699" spans="2:2" x14ac:dyDescent="0.25">
      <c r="B4699"/>
    </row>
    <row r="4700" spans="2:2" x14ac:dyDescent="0.25">
      <c r="B4700"/>
    </row>
    <row r="4701" spans="2:2" x14ac:dyDescent="0.25">
      <c r="B4701"/>
    </row>
    <row r="4702" spans="2:2" x14ac:dyDescent="0.25">
      <c r="B4702"/>
    </row>
    <row r="4703" spans="2:2" x14ac:dyDescent="0.25">
      <c r="B4703"/>
    </row>
    <row r="4704" spans="2:2" x14ac:dyDescent="0.25">
      <c r="B4704"/>
    </row>
    <row r="4705" spans="2:2" x14ac:dyDescent="0.25">
      <c r="B4705"/>
    </row>
    <row r="4706" spans="2:2" x14ac:dyDescent="0.25">
      <c r="B4706"/>
    </row>
    <row r="4707" spans="2:2" x14ac:dyDescent="0.25">
      <c r="B4707"/>
    </row>
    <row r="4708" spans="2:2" x14ac:dyDescent="0.25">
      <c r="B4708"/>
    </row>
    <row r="4709" spans="2:2" x14ac:dyDescent="0.25">
      <c r="B4709"/>
    </row>
    <row r="4710" spans="2:2" x14ac:dyDescent="0.25">
      <c r="B4710"/>
    </row>
    <row r="4711" spans="2:2" x14ac:dyDescent="0.25">
      <c r="B4711"/>
    </row>
    <row r="4712" spans="2:2" x14ac:dyDescent="0.25">
      <c r="B4712"/>
    </row>
    <row r="4713" spans="2:2" x14ac:dyDescent="0.25">
      <c r="B4713"/>
    </row>
    <row r="4714" spans="2:2" x14ac:dyDescent="0.25">
      <c r="B4714"/>
    </row>
    <row r="4715" spans="2:2" x14ac:dyDescent="0.25">
      <c r="B4715"/>
    </row>
    <row r="4716" spans="2:2" x14ac:dyDescent="0.25">
      <c r="B4716"/>
    </row>
    <row r="4717" spans="2:2" x14ac:dyDescent="0.25">
      <c r="B4717"/>
    </row>
    <row r="4718" spans="2:2" x14ac:dyDescent="0.25">
      <c r="B4718"/>
    </row>
    <row r="4719" spans="2:2" x14ac:dyDescent="0.25">
      <c r="B4719"/>
    </row>
    <row r="4720" spans="2:2" x14ac:dyDescent="0.25">
      <c r="B4720"/>
    </row>
    <row r="4721" spans="2:2" x14ac:dyDescent="0.25">
      <c r="B4721"/>
    </row>
    <row r="4722" spans="2:2" x14ac:dyDescent="0.25">
      <c r="B4722"/>
    </row>
    <row r="4723" spans="2:2" x14ac:dyDescent="0.25">
      <c r="B4723"/>
    </row>
    <row r="4724" spans="2:2" x14ac:dyDescent="0.25">
      <c r="B4724"/>
    </row>
    <row r="4725" spans="2:2" x14ac:dyDescent="0.25">
      <c r="B4725"/>
    </row>
    <row r="4726" spans="2:2" x14ac:dyDescent="0.25">
      <c r="B4726"/>
    </row>
    <row r="4727" spans="2:2" x14ac:dyDescent="0.25">
      <c r="B4727"/>
    </row>
    <row r="4728" spans="2:2" x14ac:dyDescent="0.25">
      <c r="B4728"/>
    </row>
    <row r="4729" spans="2:2" x14ac:dyDescent="0.25">
      <c r="B4729"/>
    </row>
    <row r="4730" spans="2:2" x14ac:dyDescent="0.25">
      <c r="B4730"/>
    </row>
    <row r="4731" spans="2:2" x14ac:dyDescent="0.25">
      <c r="B4731"/>
    </row>
    <row r="4732" spans="2:2" x14ac:dyDescent="0.25">
      <c r="B4732"/>
    </row>
    <row r="4733" spans="2:2" x14ac:dyDescent="0.25">
      <c r="B4733"/>
    </row>
    <row r="4734" spans="2:2" x14ac:dyDescent="0.25">
      <c r="B4734"/>
    </row>
    <row r="4735" spans="2:2" x14ac:dyDescent="0.25">
      <c r="B4735"/>
    </row>
    <row r="4736" spans="2:2" x14ac:dyDescent="0.25">
      <c r="B4736"/>
    </row>
    <row r="4737" spans="2:2" x14ac:dyDescent="0.25">
      <c r="B4737"/>
    </row>
    <row r="4738" spans="2:2" x14ac:dyDescent="0.25">
      <c r="B4738"/>
    </row>
    <row r="4739" spans="2:2" x14ac:dyDescent="0.25">
      <c r="B4739"/>
    </row>
    <row r="4740" spans="2:2" x14ac:dyDescent="0.25">
      <c r="B4740"/>
    </row>
    <row r="4741" spans="2:2" x14ac:dyDescent="0.25">
      <c r="B4741"/>
    </row>
    <row r="4742" spans="2:2" x14ac:dyDescent="0.25">
      <c r="B4742"/>
    </row>
    <row r="4743" spans="2:2" x14ac:dyDescent="0.25">
      <c r="B4743"/>
    </row>
    <row r="4744" spans="2:2" x14ac:dyDescent="0.25">
      <c r="B4744"/>
    </row>
    <row r="4745" spans="2:2" x14ac:dyDescent="0.25">
      <c r="B4745"/>
    </row>
    <row r="4746" spans="2:2" x14ac:dyDescent="0.25">
      <c r="B4746"/>
    </row>
    <row r="4747" spans="2:2" x14ac:dyDescent="0.25">
      <c r="B4747"/>
    </row>
    <row r="4748" spans="2:2" x14ac:dyDescent="0.25">
      <c r="B4748"/>
    </row>
    <row r="4749" spans="2:2" x14ac:dyDescent="0.25">
      <c r="B4749"/>
    </row>
    <row r="4750" spans="2:2" x14ac:dyDescent="0.25">
      <c r="B4750"/>
    </row>
    <row r="4751" spans="2:2" x14ac:dyDescent="0.25">
      <c r="B4751"/>
    </row>
    <row r="4752" spans="2:2" x14ac:dyDescent="0.25">
      <c r="B4752"/>
    </row>
    <row r="4753" spans="2:2" x14ac:dyDescent="0.25">
      <c r="B4753"/>
    </row>
    <row r="4754" spans="2:2" x14ac:dyDescent="0.25">
      <c r="B4754"/>
    </row>
    <row r="4755" spans="2:2" x14ac:dyDescent="0.25">
      <c r="B4755"/>
    </row>
    <row r="4756" spans="2:2" x14ac:dyDescent="0.25">
      <c r="B4756"/>
    </row>
    <row r="4757" spans="2:2" x14ac:dyDescent="0.25">
      <c r="B4757"/>
    </row>
    <row r="4758" spans="2:2" x14ac:dyDescent="0.25">
      <c r="B4758"/>
    </row>
    <row r="4759" spans="2:2" x14ac:dyDescent="0.25">
      <c r="B4759"/>
    </row>
    <row r="4760" spans="2:2" x14ac:dyDescent="0.25">
      <c r="B4760"/>
    </row>
    <row r="4761" spans="2:2" x14ac:dyDescent="0.25">
      <c r="B4761"/>
    </row>
    <row r="4762" spans="2:2" x14ac:dyDescent="0.25">
      <c r="B4762"/>
    </row>
    <row r="4763" spans="2:2" x14ac:dyDescent="0.25">
      <c r="B4763"/>
    </row>
    <row r="4764" spans="2:2" x14ac:dyDescent="0.25">
      <c r="B4764"/>
    </row>
    <row r="4765" spans="2:2" x14ac:dyDescent="0.25">
      <c r="B4765"/>
    </row>
    <row r="4766" spans="2:2" x14ac:dyDescent="0.25">
      <c r="B4766"/>
    </row>
    <row r="4767" spans="2:2" x14ac:dyDescent="0.25">
      <c r="B4767"/>
    </row>
    <row r="4768" spans="2:2" x14ac:dyDescent="0.25">
      <c r="B4768"/>
    </row>
    <row r="4769" spans="2:2" x14ac:dyDescent="0.25">
      <c r="B4769"/>
    </row>
    <row r="4770" spans="2:2" x14ac:dyDescent="0.25">
      <c r="B4770"/>
    </row>
    <row r="4771" spans="2:2" x14ac:dyDescent="0.25">
      <c r="B4771"/>
    </row>
    <row r="4772" spans="2:2" x14ac:dyDescent="0.25">
      <c r="B4772"/>
    </row>
    <row r="4773" spans="2:2" x14ac:dyDescent="0.25">
      <c r="B4773"/>
    </row>
    <row r="4774" spans="2:2" x14ac:dyDescent="0.25">
      <c r="B4774"/>
    </row>
    <row r="4775" spans="2:2" x14ac:dyDescent="0.25">
      <c r="B4775"/>
    </row>
    <row r="4776" spans="2:2" x14ac:dyDescent="0.25">
      <c r="B4776"/>
    </row>
    <row r="4777" spans="2:2" x14ac:dyDescent="0.25">
      <c r="B4777"/>
    </row>
    <row r="4778" spans="2:2" x14ac:dyDescent="0.25">
      <c r="B4778"/>
    </row>
    <row r="4779" spans="2:2" x14ac:dyDescent="0.25">
      <c r="B4779"/>
    </row>
    <row r="4780" spans="2:2" x14ac:dyDescent="0.25">
      <c r="B4780"/>
    </row>
    <row r="4781" spans="2:2" x14ac:dyDescent="0.25">
      <c r="B4781"/>
    </row>
    <row r="4782" spans="2:2" x14ac:dyDescent="0.25">
      <c r="B4782"/>
    </row>
    <row r="4783" spans="2:2" x14ac:dyDescent="0.25">
      <c r="B4783"/>
    </row>
    <row r="4784" spans="2:2" x14ac:dyDescent="0.25">
      <c r="B4784"/>
    </row>
    <row r="4785" spans="2:2" x14ac:dyDescent="0.25">
      <c r="B4785"/>
    </row>
    <row r="4786" spans="2:2" x14ac:dyDescent="0.25">
      <c r="B4786"/>
    </row>
    <row r="4787" spans="2:2" x14ac:dyDescent="0.25">
      <c r="B4787"/>
    </row>
    <row r="4788" spans="2:2" x14ac:dyDescent="0.25">
      <c r="B4788"/>
    </row>
    <row r="4789" spans="2:2" x14ac:dyDescent="0.25">
      <c r="B4789"/>
    </row>
    <row r="4790" spans="2:2" x14ac:dyDescent="0.25">
      <c r="B4790"/>
    </row>
    <row r="4791" spans="2:2" x14ac:dyDescent="0.25">
      <c r="B4791"/>
    </row>
    <row r="4792" spans="2:2" x14ac:dyDescent="0.25">
      <c r="B4792"/>
    </row>
    <row r="4793" spans="2:2" x14ac:dyDescent="0.25">
      <c r="B4793"/>
    </row>
    <row r="4794" spans="2:2" x14ac:dyDescent="0.25">
      <c r="B4794"/>
    </row>
    <row r="4795" spans="2:2" x14ac:dyDescent="0.25">
      <c r="B4795"/>
    </row>
    <row r="4796" spans="2:2" x14ac:dyDescent="0.25">
      <c r="B4796"/>
    </row>
    <row r="4797" spans="2:2" x14ac:dyDescent="0.25">
      <c r="B4797"/>
    </row>
    <row r="4798" spans="2:2" x14ac:dyDescent="0.25">
      <c r="B4798"/>
    </row>
    <row r="4799" spans="2:2" x14ac:dyDescent="0.25">
      <c r="B4799"/>
    </row>
    <row r="4800" spans="2:2" x14ac:dyDescent="0.25">
      <c r="B4800"/>
    </row>
    <row r="4801" spans="2:2" x14ac:dyDescent="0.25">
      <c r="B4801"/>
    </row>
    <row r="4802" spans="2:2" x14ac:dyDescent="0.25">
      <c r="B4802"/>
    </row>
    <row r="4803" spans="2:2" x14ac:dyDescent="0.25">
      <c r="B4803"/>
    </row>
    <row r="4804" spans="2:2" x14ac:dyDescent="0.25">
      <c r="B4804"/>
    </row>
    <row r="4805" spans="2:2" x14ac:dyDescent="0.25">
      <c r="B4805"/>
    </row>
    <row r="4806" spans="2:2" x14ac:dyDescent="0.25">
      <c r="B4806"/>
    </row>
    <row r="4807" spans="2:2" x14ac:dyDescent="0.25">
      <c r="B4807"/>
    </row>
    <row r="4808" spans="2:2" x14ac:dyDescent="0.25">
      <c r="B4808"/>
    </row>
    <row r="4809" spans="2:2" x14ac:dyDescent="0.25">
      <c r="B4809"/>
    </row>
    <row r="4810" spans="2:2" x14ac:dyDescent="0.25">
      <c r="B4810"/>
    </row>
    <row r="4811" spans="2:2" x14ac:dyDescent="0.25">
      <c r="B4811"/>
    </row>
    <row r="4812" spans="2:2" x14ac:dyDescent="0.25">
      <c r="B4812"/>
    </row>
    <row r="4813" spans="2:2" x14ac:dyDescent="0.25">
      <c r="B4813"/>
    </row>
    <row r="4814" spans="2:2" x14ac:dyDescent="0.25">
      <c r="B4814"/>
    </row>
    <row r="4815" spans="2:2" x14ac:dyDescent="0.25">
      <c r="B4815"/>
    </row>
    <row r="4816" spans="2:2" x14ac:dyDescent="0.25">
      <c r="B4816"/>
    </row>
    <row r="4817" spans="2:2" x14ac:dyDescent="0.25">
      <c r="B4817"/>
    </row>
    <row r="4818" spans="2:2" x14ac:dyDescent="0.25">
      <c r="B4818"/>
    </row>
    <row r="4819" spans="2:2" x14ac:dyDescent="0.25">
      <c r="B4819"/>
    </row>
    <row r="4820" spans="2:2" x14ac:dyDescent="0.25">
      <c r="B4820"/>
    </row>
    <row r="4821" spans="2:2" x14ac:dyDescent="0.25">
      <c r="B4821"/>
    </row>
    <row r="4822" spans="2:2" x14ac:dyDescent="0.25">
      <c r="B4822"/>
    </row>
    <row r="4823" spans="2:2" x14ac:dyDescent="0.25">
      <c r="B4823"/>
    </row>
    <row r="4824" spans="2:2" x14ac:dyDescent="0.25">
      <c r="B4824"/>
    </row>
    <row r="4825" spans="2:2" x14ac:dyDescent="0.25">
      <c r="B4825"/>
    </row>
    <row r="4826" spans="2:2" x14ac:dyDescent="0.25">
      <c r="B4826"/>
    </row>
    <row r="4827" spans="2:2" x14ac:dyDescent="0.25">
      <c r="B4827"/>
    </row>
    <row r="4828" spans="2:2" x14ac:dyDescent="0.25">
      <c r="B4828"/>
    </row>
    <row r="4829" spans="2:2" x14ac:dyDescent="0.25">
      <c r="B4829"/>
    </row>
    <row r="4830" spans="2:2" x14ac:dyDescent="0.25">
      <c r="B4830"/>
    </row>
    <row r="4831" spans="2:2" x14ac:dyDescent="0.25">
      <c r="B4831"/>
    </row>
    <row r="4832" spans="2:2" x14ac:dyDescent="0.25">
      <c r="B4832"/>
    </row>
    <row r="4833" spans="2:2" x14ac:dyDescent="0.25">
      <c r="B4833"/>
    </row>
    <row r="4834" spans="2:2" x14ac:dyDescent="0.25">
      <c r="B4834"/>
    </row>
    <row r="4835" spans="2:2" x14ac:dyDescent="0.25">
      <c r="B4835"/>
    </row>
    <row r="4836" spans="2:2" x14ac:dyDescent="0.25">
      <c r="B4836"/>
    </row>
    <row r="4837" spans="2:2" x14ac:dyDescent="0.25">
      <c r="B4837"/>
    </row>
    <row r="4838" spans="2:2" x14ac:dyDescent="0.25">
      <c r="B4838"/>
    </row>
    <row r="4839" spans="2:2" x14ac:dyDescent="0.25">
      <c r="B4839"/>
    </row>
    <row r="4840" spans="2:2" x14ac:dyDescent="0.25">
      <c r="B4840"/>
    </row>
    <row r="4841" spans="2:2" x14ac:dyDescent="0.25">
      <c r="B4841"/>
    </row>
    <row r="4842" spans="2:2" x14ac:dyDescent="0.25">
      <c r="B4842"/>
    </row>
    <row r="4843" spans="2:2" x14ac:dyDescent="0.25">
      <c r="B4843"/>
    </row>
    <row r="4844" spans="2:2" x14ac:dyDescent="0.25">
      <c r="B4844"/>
    </row>
    <row r="4845" spans="2:2" x14ac:dyDescent="0.25">
      <c r="B4845"/>
    </row>
    <row r="4846" spans="2:2" x14ac:dyDescent="0.25">
      <c r="B4846"/>
    </row>
    <row r="4847" spans="2:2" x14ac:dyDescent="0.25">
      <c r="B4847"/>
    </row>
    <row r="4848" spans="2:2" x14ac:dyDescent="0.25">
      <c r="B4848"/>
    </row>
    <row r="4849" spans="2:2" x14ac:dyDescent="0.25">
      <c r="B4849"/>
    </row>
    <row r="4850" spans="2:2" x14ac:dyDescent="0.25">
      <c r="B4850"/>
    </row>
    <row r="4851" spans="2:2" x14ac:dyDescent="0.25">
      <c r="B4851"/>
    </row>
    <row r="4852" spans="2:2" x14ac:dyDescent="0.25">
      <c r="B4852"/>
    </row>
    <row r="4853" spans="2:2" x14ac:dyDescent="0.25">
      <c r="B4853"/>
    </row>
    <row r="4854" spans="2:2" x14ac:dyDescent="0.25">
      <c r="B4854"/>
    </row>
    <row r="4855" spans="2:2" x14ac:dyDescent="0.25">
      <c r="B4855"/>
    </row>
    <row r="4856" spans="2:2" x14ac:dyDescent="0.25">
      <c r="B4856"/>
    </row>
    <row r="4857" spans="2:2" x14ac:dyDescent="0.25">
      <c r="B4857"/>
    </row>
    <row r="4858" spans="2:2" x14ac:dyDescent="0.25">
      <c r="B4858"/>
    </row>
    <row r="4859" spans="2:2" x14ac:dyDescent="0.25">
      <c r="B4859"/>
    </row>
    <row r="4860" spans="2:2" x14ac:dyDescent="0.25">
      <c r="B4860"/>
    </row>
    <row r="4861" spans="2:2" x14ac:dyDescent="0.25">
      <c r="B4861"/>
    </row>
    <row r="4862" spans="2:2" x14ac:dyDescent="0.25">
      <c r="B4862"/>
    </row>
    <row r="4863" spans="2:2" x14ac:dyDescent="0.25">
      <c r="B4863"/>
    </row>
    <row r="4864" spans="2:2" x14ac:dyDescent="0.25">
      <c r="B4864"/>
    </row>
    <row r="4865" spans="2:2" x14ac:dyDescent="0.25">
      <c r="B4865"/>
    </row>
    <row r="4866" spans="2:2" x14ac:dyDescent="0.25">
      <c r="B4866"/>
    </row>
    <row r="4867" spans="2:2" x14ac:dyDescent="0.25">
      <c r="B4867"/>
    </row>
    <row r="4868" spans="2:2" x14ac:dyDescent="0.25">
      <c r="B4868"/>
    </row>
    <row r="4869" spans="2:2" x14ac:dyDescent="0.25">
      <c r="B4869"/>
    </row>
    <row r="4870" spans="2:2" x14ac:dyDescent="0.25">
      <c r="B4870"/>
    </row>
    <row r="4871" spans="2:2" x14ac:dyDescent="0.25">
      <c r="B4871"/>
    </row>
    <row r="4872" spans="2:2" x14ac:dyDescent="0.25">
      <c r="B4872"/>
    </row>
    <row r="4873" spans="2:2" x14ac:dyDescent="0.25">
      <c r="B4873"/>
    </row>
    <row r="4874" spans="2:2" x14ac:dyDescent="0.25">
      <c r="B4874"/>
    </row>
    <row r="4875" spans="2:2" x14ac:dyDescent="0.25">
      <c r="B4875"/>
    </row>
    <row r="4876" spans="2:2" x14ac:dyDescent="0.25">
      <c r="B4876"/>
    </row>
    <row r="4877" spans="2:2" x14ac:dyDescent="0.25">
      <c r="B4877"/>
    </row>
    <row r="4878" spans="2:2" x14ac:dyDescent="0.25">
      <c r="B4878"/>
    </row>
    <row r="4879" spans="2:2" x14ac:dyDescent="0.25">
      <c r="B4879"/>
    </row>
    <row r="4880" spans="2:2" x14ac:dyDescent="0.25">
      <c r="B4880"/>
    </row>
    <row r="4881" spans="2:2" x14ac:dyDescent="0.25">
      <c r="B4881"/>
    </row>
    <row r="4882" spans="2:2" x14ac:dyDescent="0.25">
      <c r="B4882"/>
    </row>
    <row r="4883" spans="2:2" x14ac:dyDescent="0.25">
      <c r="B4883"/>
    </row>
    <row r="4884" spans="2:2" x14ac:dyDescent="0.25">
      <c r="B4884"/>
    </row>
    <row r="4885" spans="2:2" x14ac:dyDescent="0.25">
      <c r="B4885"/>
    </row>
    <row r="4886" spans="2:2" x14ac:dyDescent="0.25">
      <c r="B4886"/>
    </row>
    <row r="4887" spans="2:2" x14ac:dyDescent="0.25">
      <c r="B4887"/>
    </row>
    <row r="4888" spans="2:2" x14ac:dyDescent="0.25">
      <c r="B4888"/>
    </row>
    <row r="4889" spans="2:2" x14ac:dyDescent="0.25">
      <c r="B4889"/>
    </row>
    <row r="4890" spans="2:2" x14ac:dyDescent="0.25">
      <c r="B4890"/>
    </row>
    <row r="4891" spans="2:2" x14ac:dyDescent="0.25">
      <c r="B4891"/>
    </row>
    <row r="4892" spans="2:2" x14ac:dyDescent="0.25">
      <c r="B4892"/>
    </row>
    <row r="4893" spans="2:2" x14ac:dyDescent="0.25">
      <c r="B4893"/>
    </row>
    <row r="4894" spans="2:2" x14ac:dyDescent="0.25">
      <c r="B4894"/>
    </row>
    <row r="4895" spans="2:2" x14ac:dyDescent="0.25">
      <c r="B4895"/>
    </row>
    <row r="4896" spans="2:2" x14ac:dyDescent="0.25">
      <c r="B4896"/>
    </row>
    <row r="4897" spans="2:2" x14ac:dyDescent="0.25">
      <c r="B4897"/>
    </row>
    <row r="4898" spans="2:2" x14ac:dyDescent="0.25">
      <c r="B4898"/>
    </row>
    <row r="4899" spans="2:2" x14ac:dyDescent="0.25">
      <c r="B4899"/>
    </row>
    <row r="4900" spans="2:2" x14ac:dyDescent="0.25">
      <c r="B4900"/>
    </row>
    <row r="4901" spans="2:2" x14ac:dyDescent="0.25">
      <c r="B4901"/>
    </row>
    <row r="4902" spans="2:2" x14ac:dyDescent="0.25">
      <c r="B4902"/>
    </row>
    <row r="4903" spans="2:2" x14ac:dyDescent="0.25">
      <c r="B4903"/>
    </row>
    <row r="4904" spans="2:2" x14ac:dyDescent="0.25">
      <c r="B4904"/>
    </row>
    <row r="4905" spans="2:2" x14ac:dyDescent="0.25">
      <c r="B4905"/>
    </row>
    <row r="4906" spans="2:2" x14ac:dyDescent="0.25">
      <c r="B4906"/>
    </row>
    <row r="4907" spans="2:2" x14ac:dyDescent="0.25">
      <c r="B4907"/>
    </row>
    <row r="4908" spans="2:2" x14ac:dyDescent="0.25">
      <c r="B4908"/>
    </row>
    <row r="4909" spans="2:2" x14ac:dyDescent="0.25">
      <c r="B4909"/>
    </row>
    <row r="4910" spans="2:2" x14ac:dyDescent="0.25">
      <c r="B4910"/>
    </row>
    <row r="4911" spans="2:2" x14ac:dyDescent="0.25">
      <c r="B4911"/>
    </row>
    <row r="4912" spans="2:2" x14ac:dyDescent="0.25">
      <c r="B4912"/>
    </row>
    <row r="4913" spans="2:2" x14ac:dyDescent="0.25">
      <c r="B4913"/>
    </row>
    <row r="4914" spans="2:2" x14ac:dyDescent="0.25">
      <c r="B4914"/>
    </row>
    <row r="4915" spans="2:2" x14ac:dyDescent="0.25">
      <c r="B4915"/>
    </row>
    <row r="4916" spans="2:2" x14ac:dyDescent="0.25">
      <c r="B4916"/>
    </row>
    <row r="4917" spans="2:2" x14ac:dyDescent="0.25">
      <c r="B4917"/>
    </row>
    <row r="4918" spans="2:2" x14ac:dyDescent="0.25">
      <c r="B4918"/>
    </row>
    <row r="4919" spans="2:2" x14ac:dyDescent="0.25">
      <c r="B4919"/>
    </row>
    <row r="4920" spans="2:2" x14ac:dyDescent="0.25">
      <c r="B4920"/>
    </row>
    <row r="4921" spans="2:2" x14ac:dyDescent="0.25">
      <c r="B4921"/>
    </row>
    <row r="4922" spans="2:2" x14ac:dyDescent="0.25">
      <c r="B4922"/>
    </row>
    <row r="4923" spans="2:2" x14ac:dyDescent="0.25">
      <c r="B4923"/>
    </row>
    <row r="4924" spans="2:2" x14ac:dyDescent="0.25">
      <c r="B4924"/>
    </row>
    <row r="4925" spans="2:2" x14ac:dyDescent="0.25">
      <c r="B4925"/>
    </row>
    <row r="4926" spans="2:2" x14ac:dyDescent="0.25">
      <c r="B4926"/>
    </row>
    <row r="4927" spans="2:2" x14ac:dyDescent="0.25">
      <c r="B4927"/>
    </row>
    <row r="4928" spans="2:2" x14ac:dyDescent="0.25">
      <c r="B4928"/>
    </row>
    <row r="4929" spans="2:2" x14ac:dyDescent="0.25">
      <c r="B4929"/>
    </row>
    <row r="4930" spans="2:2" x14ac:dyDescent="0.25">
      <c r="B4930"/>
    </row>
    <row r="4931" spans="2:2" x14ac:dyDescent="0.25">
      <c r="B4931"/>
    </row>
    <row r="4932" spans="2:2" x14ac:dyDescent="0.25">
      <c r="B4932"/>
    </row>
    <row r="4933" spans="2:2" x14ac:dyDescent="0.25">
      <c r="B4933"/>
    </row>
    <row r="4934" spans="2:2" x14ac:dyDescent="0.25">
      <c r="B4934"/>
    </row>
    <row r="4935" spans="2:2" x14ac:dyDescent="0.25">
      <c r="B4935"/>
    </row>
    <row r="4936" spans="2:2" x14ac:dyDescent="0.25">
      <c r="B4936"/>
    </row>
    <row r="4937" spans="2:2" x14ac:dyDescent="0.25">
      <c r="B4937"/>
    </row>
    <row r="4938" spans="2:2" x14ac:dyDescent="0.25">
      <c r="B4938"/>
    </row>
    <row r="4939" spans="2:2" x14ac:dyDescent="0.25">
      <c r="B4939"/>
    </row>
    <row r="4940" spans="2:2" x14ac:dyDescent="0.25">
      <c r="B4940"/>
    </row>
    <row r="4941" spans="2:2" x14ac:dyDescent="0.25">
      <c r="B4941"/>
    </row>
    <row r="4942" spans="2:2" x14ac:dyDescent="0.25">
      <c r="B4942"/>
    </row>
    <row r="4943" spans="2:2" x14ac:dyDescent="0.25">
      <c r="B4943"/>
    </row>
    <row r="4944" spans="2:2" x14ac:dyDescent="0.25">
      <c r="B4944"/>
    </row>
    <row r="4945" spans="2:2" x14ac:dyDescent="0.25">
      <c r="B4945"/>
    </row>
    <row r="4946" spans="2:2" x14ac:dyDescent="0.25">
      <c r="B4946"/>
    </row>
    <row r="4947" spans="2:2" x14ac:dyDescent="0.25">
      <c r="B4947"/>
    </row>
    <row r="4948" spans="2:2" x14ac:dyDescent="0.25">
      <c r="B4948"/>
    </row>
    <row r="4949" spans="2:2" x14ac:dyDescent="0.25">
      <c r="B4949"/>
    </row>
    <row r="4950" spans="2:2" x14ac:dyDescent="0.25">
      <c r="B4950"/>
    </row>
    <row r="4951" spans="2:2" x14ac:dyDescent="0.25">
      <c r="B4951"/>
    </row>
    <row r="4952" spans="2:2" x14ac:dyDescent="0.25">
      <c r="B4952"/>
    </row>
    <row r="4953" spans="2:2" x14ac:dyDescent="0.25">
      <c r="B4953"/>
    </row>
    <row r="4954" spans="2:2" x14ac:dyDescent="0.25">
      <c r="B4954"/>
    </row>
    <row r="4955" spans="2:2" x14ac:dyDescent="0.25">
      <c r="B4955"/>
    </row>
    <row r="4956" spans="2:2" x14ac:dyDescent="0.25">
      <c r="B4956"/>
    </row>
    <row r="4957" spans="2:2" x14ac:dyDescent="0.25">
      <c r="B4957"/>
    </row>
    <row r="4958" spans="2:2" x14ac:dyDescent="0.25">
      <c r="B4958"/>
    </row>
    <row r="4959" spans="2:2" x14ac:dyDescent="0.25">
      <c r="B4959"/>
    </row>
    <row r="4960" spans="2:2" x14ac:dyDescent="0.25">
      <c r="B4960"/>
    </row>
    <row r="4961" spans="2:2" x14ac:dyDescent="0.25">
      <c r="B4961"/>
    </row>
    <row r="4962" spans="2:2" x14ac:dyDescent="0.25">
      <c r="B4962"/>
    </row>
    <row r="4963" spans="2:2" x14ac:dyDescent="0.25">
      <c r="B4963"/>
    </row>
    <row r="4964" spans="2:2" x14ac:dyDescent="0.25">
      <c r="B4964"/>
    </row>
    <row r="4965" spans="2:2" x14ac:dyDescent="0.25">
      <c r="B4965"/>
    </row>
    <row r="4966" spans="2:2" x14ac:dyDescent="0.25">
      <c r="B4966"/>
    </row>
    <row r="4967" spans="2:2" x14ac:dyDescent="0.25">
      <c r="B4967"/>
    </row>
    <row r="4968" spans="2:2" x14ac:dyDescent="0.25">
      <c r="B4968"/>
    </row>
    <row r="4969" spans="2:2" x14ac:dyDescent="0.25">
      <c r="B4969"/>
    </row>
    <row r="4970" spans="2:2" x14ac:dyDescent="0.25">
      <c r="B4970"/>
    </row>
    <row r="4971" spans="2:2" x14ac:dyDescent="0.25">
      <c r="B4971"/>
    </row>
    <row r="4972" spans="2:2" x14ac:dyDescent="0.25">
      <c r="B4972"/>
    </row>
    <row r="4973" spans="2:2" x14ac:dyDescent="0.25">
      <c r="B4973"/>
    </row>
    <row r="4974" spans="2:2" x14ac:dyDescent="0.25">
      <c r="B4974"/>
    </row>
    <row r="4975" spans="2:2" x14ac:dyDescent="0.25">
      <c r="B4975"/>
    </row>
    <row r="4976" spans="2:2" x14ac:dyDescent="0.25">
      <c r="B4976"/>
    </row>
    <row r="4977" spans="2:2" x14ac:dyDescent="0.25">
      <c r="B4977"/>
    </row>
    <row r="4978" spans="2:2" x14ac:dyDescent="0.25">
      <c r="B4978"/>
    </row>
    <row r="4979" spans="2:2" x14ac:dyDescent="0.25">
      <c r="B4979"/>
    </row>
    <row r="4980" spans="2:2" x14ac:dyDescent="0.25">
      <c r="B4980"/>
    </row>
    <row r="4981" spans="2:2" x14ac:dyDescent="0.25">
      <c r="B4981"/>
    </row>
    <row r="4982" spans="2:2" x14ac:dyDescent="0.25">
      <c r="B4982"/>
    </row>
    <row r="4983" spans="2:2" x14ac:dyDescent="0.25">
      <c r="B4983"/>
    </row>
    <row r="4984" spans="2:2" x14ac:dyDescent="0.25">
      <c r="B4984"/>
    </row>
    <row r="4985" spans="2:2" x14ac:dyDescent="0.25">
      <c r="B4985"/>
    </row>
    <row r="4986" spans="2:2" x14ac:dyDescent="0.25">
      <c r="B4986"/>
    </row>
    <row r="4987" spans="2:2" x14ac:dyDescent="0.25">
      <c r="B4987"/>
    </row>
    <row r="4988" spans="2:2" x14ac:dyDescent="0.25">
      <c r="B4988"/>
    </row>
    <row r="4989" spans="2:2" x14ac:dyDescent="0.25">
      <c r="B4989"/>
    </row>
    <row r="4990" spans="2:2" x14ac:dyDescent="0.25">
      <c r="B4990"/>
    </row>
    <row r="4991" spans="2:2" x14ac:dyDescent="0.25">
      <c r="B4991"/>
    </row>
    <row r="4992" spans="2:2" x14ac:dyDescent="0.25">
      <c r="B4992"/>
    </row>
    <row r="4993" spans="2:2" x14ac:dyDescent="0.25">
      <c r="B4993"/>
    </row>
    <row r="4994" spans="2:2" x14ac:dyDescent="0.25">
      <c r="B4994"/>
    </row>
    <row r="4995" spans="2:2" x14ac:dyDescent="0.25">
      <c r="B4995"/>
    </row>
    <row r="4996" spans="2:2" x14ac:dyDescent="0.25">
      <c r="B4996"/>
    </row>
    <row r="4997" spans="2:2" x14ac:dyDescent="0.25">
      <c r="B4997"/>
    </row>
    <row r="4998" spans="2:2" x14ac:dyDescent="0.25">
      <c r="B4998"/>
    </row>
    <row r="4999" spans="2:2" x14ac:dyDescent="0.25">
      <c r="B4999"/>
    </row>
    <row r="5000" spans="2:2" x14ac:dyDescent="0.25">
      <c r="B5000"/>
    </row>
    <row r="5001" spans="2:2" x14ac:dyDescent="0.25">
      <c r="B5001"/>
    </row>
    <row r="5002" spans="2:2" x14ac:dyDescent="0.25">
      <c r="B5002"/>
    </row>
    <row r="5003" spans="2:2" x14ac:dyDescent="0.25">
      <c r="B5003"/>
    </row>
    <row r="5004" spans="2:2" x14ac:dyDescent="0.25">
      <c r="B5004"/>
    </row>
    <row r="5005" spans="2:2" x14ac:dyDescent="0.25">
      <c r="B5005"/>
    </row>
    <row r="5006" spans="2:2" x14ac:dyDescent="0.25">
      <c r="B5006"/>
    </row>
    <row r="5007" spans="2:2" x14ac:dyDescent="0.25">
      <c r="B5007"/>
    </row>
    <row r="5008" spans="2:2" x14ac:dyDescent="0.25">
      <c r="B5008"/>
    </row>
    <row r="5009" spans="2:2" x14ac:dyDescent="0.25">
      <c r="B5009"/>
    </row>
    <row r="5010" spans="2:2" x14ac:dyDescent="0.25">
      <c r="B5010"/>
    </row>
    <row r="5011" spans="2:2" x14ac:dyDescent="0.25">
      <c r="B5011"/>
    </row>
    <row r="5012" spans="2:2" x14ac:dyDescent="0.25">
      <c r="B5012"/>
    </row>
    <row r="5013" spans="2:2" x14ac:dyDescent="0.25">
      <c r="B5013"/>
    </row>
    <row r="5014" spans="2:2" x14ac:dyDescent="0.25">
      <c r="B5014"/>
    </row>
    <row r="5015" spans="2:2" x14ac:dyDescent="0.25">
      <c r="B5015"/>
    </row>
    <row r="5016" spans="2:2" x14ac:dyDescent="0.25">
      <c r="B5016"/>
    </row>
    <row r="5017" spans="2:2" x14ac:dyDescent="0.25">
      <c r="B5017"/>
    </row>
    <row r="5018" spans="2:2" x14ac:dyDescent="0.25">
      <c r="B5018"/>
    </row>
    <row r="5019" spans="2:2" x14ac:dyDescent="0.25">
      <c r="B5019"/>
    </row>
    <row r="5020" spans="2:2" x14ac:dyDescent="0.25">
      <c r="B5020"/>
    </row>
    <row r="5021" spans="2:2" x14ac:dyDescent="0.25">
      <c r="B5021"/>
    </row>
    <row r="5022" spans="2:2" x14ac:dyDescent="0.25">
      <c r="B5022"/>
    </row>
    <row r="5023" spans="2:2" x14ac:dyDescent="0.25">
      <c r="B5023"/>
    </row>
    <row r="5024" spans="2:2" x14ac:dyDescent="0.25">
      <c r="B5024"/>
    </row>
    <row r="5025" spans="2:2" x14ac:dyDescent="0.25">
      <c r="B5025"/>
    </row>
    <row r="5026" spans="2:2" x14ac:dyDescent="0.25">
      <c r="B5026"/>
    </row>
    <row r="5027" spans="2:2" x14ac:dyDescent="0.25">
      <c r="B5027"/>
    </row>
    <row r="5028" spans="2:2" x14ac:dyDescent="0.25">
      <c r="B5028"/>
    </row>
    <row r="5029" spans="2:2" x14ac:dyDescent="0.25">
      <c r="B5029"/>
    </row>
    <row r="5030" spans="2:2" x14ac:dyDescent="0.25">
      <c r="B5030"/>
    </row>
    <row r="5031" spans="2:2" x14ac:dyDescent="0.25">
      <c r="B5031"/>
    </row>
    <row r="5032" spans="2:2" x14ac:dyDescent="0.25">
      <c r="B5032"/>
    </row>
    <row r="5033" spans="2:2" x14ac:dyDescent="0.25">
      <c r="B5033"/>
    </row>
    <row r="5034" spans="2:2" x14ac:dyDescent="0.25">
      <c r="B5034"/>
    </row>
    <row r="5035" spans="2:2" x14ac:dyDescent="0.25">
      <c r="B5035"/>
    </row>
    <row r="5036" spans="2:2" x14ac:dyDescent="0.25">
      <c r="B5036"/>
    </row>
    <row r="5037" spans="2:2" x14ac:dyDescent="0.25">
      <c r="B5037"/>
    </row>
    <row r="5038" spans="2:2" x14ac:dyDescent="0.25">
      <c r="B5038"/>
    </row>
    <row r="5039" spans="2:2" x14ac:dyDescent="0.25">
      <c r="B5039"/>
    </row>
    <row r="5040" spans="2:2" x14ac:dyDescent="0.25">
      <c r="B5040"/>
    </row>
    <row r="5041" spans="2:2" x14ac:dyDescent="0.25">
      <c r="B5041"/>
    </row>
    <row r="5042" spans="2:2" x14ac:dyDescent="0.25">
      <c r="B5042"/>
    </row>
    <row r="5043" spans="2:2" x14ac:dyDescent="0.25">
      <c r="B5043"/>
    </row>
    <row r="5044" spans="2:2" x14ac:dyDescent="0.25">
      <c r="B5044"/>
    </row>
    <row r="5045" spans="2:2" x14ac:dyDescent="0.25">
      <c r="B5045"/>
    </row>
    <row r="5046" spans="2:2" x14ac:dyDescent="0.25">
      <c r="B5046"/>
    </row>
    <row r="5047" spans="2:2" x14ac:dyDescent="0.25">
      <c r="B5047"/>
    </row>
    <row r="5048" spans="2:2" x14ac:dyDescent="0.25">
      <c r="B5048"/>
    </row>
    <row r="5049" spans="2:2" x14ac:dyDescent="0.25">
      <c r="B5049"/>
    </row>
    <row r="5050" spans="2:2" x14ac:dyDescent="0.25">
      <c r="B5050"/>
    </row>
    <row r="5051" spans="2:2" x14ac:dyDescent="0.25">
      <c r="B5051"/>
    </row>
    <row r="5052" spans="2:2" x14ac:dyDescent="0.25">
      <c r="B5052"/>
    </row>
    <row r="5053" spans="2:2" x14ac:dyDescent="0.25">
      <c r="B5053"/>
    </row>
    <row r="5054" spans="2:2" x14ac:dyDescent="0.25">
      <c r="B5054"/>
    </row>
    <row r="5055" spans="2:2" x14ac:dyDescent="0.25">
      <c r="B5055"/>
    </row>
    <row r="5056" spans="2:2" x14ac:dyDescent="0.25">
      <c r="B5056"/>
    </row>
    <row r="5057" spans="2:2" x14ac:dyDescent="0.25">
      <c r="B5057"/>
    </row>
    <row r="5058" spans="2:2" x14ac:dyDescent="0.25">
      <c r="B5058"/>
    </row>
    <row r="5059" spans="2:2" x14ac:dyDescent="0.25">
      <c r="B5059"/>
    </row>
    <row r="5060" spans="2:2" x14ac:dyDescent="0.25">
      <c r="B5060"/>
    </row>
    <row r="5061" spans="2:2" x14ac:dyDescent="0.25">
      <c r="B5061"/>
    </row>
    <row r="5062" spans="2:2" x14ac:dyDescent="0.25">
      <c r="B5062"/>
    </row>
    <row r="5063" spans="2:2" x14ac:dyDescent="0.25">
      <c r="B5063"/>
    </row>
    <row r="5064" spans="2:2" x14ac:dyDescent="0.25">
      <c r="B5064"/>
    </row>
    <row r="5065" spans="2:2" x14ac:dyDescent="0.25">
      <c r="B5065"/>
    </row>
    <row r="5066" spans="2:2" x14ac:dyDescent="0.25">
      <c r="B5066"/>
    </row>
    <row r="5067" spans="2:2" x14ac:dyDescent="0.25">
      <c r="B5067"/>
    </row>
    <row r="5068" spans="2:2" x14ac:dyDescent="0.25">
      <c r="B5068"/>
    </row>
    <row r="5069" spans="2:2" x14ac:dyDescent="0.25">
      <c r="B5069"/>
    </row>
    <row r="5070" spans="2:2" x14ac:dyDescent="0.25">
      <c r="B5070"/>
    </row>
    <row r="5071" spans="2:2" x14ac:dyDescent="0.25">
      <c r="B5071"/>
    </row>
    <row r="5072" spans="2:2" x14ac:dyDescent="0.25">
      <c r="B5072"/>
    </row>
    <row r="5073" spans="2:2" x14ac:dyDescent="0.25">
      <c r="B5073"/>
    </row>
    <row r="5074" spans="2:2" x14ac:dyDescent="0.25">
      <c r="B5074"/>
    </row>
    <row r="5075" spans="2:2" x14ac:dyDescent="0.25">
      <c r="B5075"/>
    </row>
    <row r="5076" spans="2:2" x14ac:dyDescent="0.25">
      <c r="B5076"/>
    </row>
    <row r="5077" spans="2:2" x14ac:dyDescent="0.25">
      <c r="B5077"/>
    </row>
    <row r="5078" spans="2:2" x14ac:dyDescent="0.25">
      <c r="B5078"/>
    </row>
    <row r="5079" spans="2:2" x14ac:dyDescent="0.25">
      <c r="B5079"/>
    </row>
    <row r="5080" spans="2:2" x14ac:dyDescent="0.25">
      <c r="B5080"/>
    </row>
    <row r="5081" spans="2:2" x14ac:dyDescent="0.25">
      <c r="B5081"/>
    </row>
    <row r="5082" spans="2:2" x14ac:dyDescent="0.25">
      <c r="B5082"/>
    </row>
    <row r="5083" spans="2:2" x14ac:dyDescent="0.25">
      <c r="B5083"/>
    </row>
    <row r="5084" spans="2:2" x14ac:dyDescent="0.25">
      <c r="B5084"/>
    </row>
    <row r="5085" spans="2:2" x14ac:dyDescent="0.25">
      <c r="B5085"/>
    </row>
    <row r="5086" spans="2:2" x14ac:dyDescent="0.25">
      <c r="B5086"/>
    </row>
    <row r="5087" spans="2:2" x14ac:dyDescent="0.25">
      <c r="B5087"/>
    </row>
    <row r="5088" spans="2:2" x14ac:dyDescent="0.25">
      <c r="B5088"/>
    </row>
    <row r="5089" spans="2:2" x14ac:dyDescent="0.25">
      <c r="B5089"/>
    </row>
    <row r="5090" spans="2:2" x14ac:dyDescent="0.25">
      <c r="B5090"/>
    </row>
    <row r="5091" spans="2:2" x14ac:dyDescent="0.25">
      <c r="B5091"/>
    </row>
    <row r="5092" spans="2:2" x14ac:dyDescent="0.25">
      <c r="B5092"/>
    </row>
    <row r="5093" spans="2:2" x14ac:dyDescent="0.25">
      <c r="B5093"/>
    </row>
    <row r="5094" spans="2:2" x14ac:dyDescent="0.25">
      <c r="B5094"/>
    </row>
    <row r="5095" spans="2:2" x14ac:dyDescent="0.25">
      <c r="B5095"/>
    </row>
    <row r="5096" spans="2:2" x14ac:dyDescent="0.25">
      <c r="B5096"/>
    </row>
    <row r="5097" spans="2:2" x14ac:dyDescent="0.25">
      <c r="B5097"/>
    </row>
    <row r="5098" spans="2:2" x14ac:dyDescent="0.25">
      <c r="B5098"/>
    </row>
    <row r="5099" spans="2:2" x14ac:dyDescent="0.25">
      <c r="B5099"/>
    </row>
    <row r="5100" spans="2:2" x14ac:dyDescent="0.25">
      <c r="B5100"/>
    </row>
    <row r="5101" spans="2:2" x14ac:dyDescent="0.25">
      <c r="B5101"/>
    </row>
    <row r="5102" spans="2:2" x14ac:dyDescent="0.25">
      <c r="B5102"/>
    </row>
    <row r="5103" spans="2:2" x14ac:dyDescent="0.25">
      <c r="B5103"/>
    </row>
    <row r="5104" spans="2:2" x14ac:dyDescent="0.25">
      <c r="B5104"/>
    </row>
    <row r="5105" spans="2:2" x14ac:dyDescent="0.25">
      <c r="B5105"/>
    </row>
    <row r="5106" spans="2:2" x14ac:dyDescent="0.25">
      <c r="B5106"/>
    </row>
    <row r="5107" spans="2:2" x14ac:dyDescent="0.25">
      <c r="B5107"/>
    </row>
    <row r="5108" spans="2:2" x14ac:dyDescent="0.25">
      <c r="B5108"/>
    </row>
    <row r="5109" spans="2:2" x14ac:dyDescent="0.25">
      <c r="B5109"/>
    </row>
    <row r="5110" spans="2:2" x14ac:dyDescent="0.25">
      <c r="B5110"/>
    </row>
    <row r="5111" spans="2:2" x14ac:dyDescent="0.25">
      <c r="B5111"/>
    </row>
    <row r="5112" spans="2:2" x14ac:dyDescent="0.25">
      <c r="B5112"/>
    </row>
    <row r="5113" spans="2:2" x14ac:dyDescent="0.25">
      <c r="B5113"/>
    </row>
    <row r="5114" spans="2:2" x14ac:dyDescent="0.25">
      <c r="B5114"/>
    </row>
    <row r="5115" spans="2:2" x14ac:dyDescent="0.25">
      <c r="B5115"/>
    </row>
    <row r="5116" spans="2:2" x14ac:dyDescent="0.25">
      <c r="B5116"/>
    </row>
    <row r="5117" spans="2:2" x14ac:dyDescent="0.25">
      <c r="B5117"/>
    </row>
    <row r="5118" spans="2:2" x14ac:dyDescent="0.25">
      <c r="B5118"/>
    </row>
    <row r="5119" spans="2:2" x14ac:dyDescent="0.25">
      <c r="B5119"/>
    </row>
    <row r="5120" spans="2:2" x14ac:dyDescent="0.25">
      <c r="B5120"/>
    </row>
    <row r="5121" spans="2:2" x14ac:dyDescent="0.25">
      <c r="B5121"/>
    </row>
    <row r="5122" spans="2:2" x14ac:dyDescent="0.25">
      <c r="B5122"/>
    </row>
    <row r="5123" spans="2:2" x14ac:dyDescent="0.25">
      <c r="B5123"/>
    </row>
    <row r="5124" spans="2:2" x14ac:dyDescent="0.25">
      <c r="B5124"/>
    </row>
    <row r="5125" spans="2:2" x14ac:dyDescent="0.25">
      <c r="B5125"/>
    </row>
    <row r="5126" spans="2:2" x14ac:dyDescent="0.25">
      <c r="B5126"/>
    </row>
    <row r="5127" spans="2:2" x14ac:dyDescent="0.25">
      <c r="B5127"/>
    </row>
    <row r="5128" spans="2:2" x14ac:dyDescent="0.25">
      <c r="B5128"/>
    </row>
    <row r="5129" spans="2:2" x14ac:dyDescent="0.25">
      <c r="B5129"/>
    </row>
    <row r="5130" spans="2:2" x14ac:dyDescent="0.25">
      <c r="B5130"/>
    </row>
    <row r="5131" spans="2:2" x14ac:dyDescent="0.25">
      <c r="B5131"/>
    </row>
    <row r="5132" spans="2:2" x14ac:dyDescent="0.25">
      <c r="B5132"/>
    </row>
    <row r="5133" spans="2:2" x14ac:dyDescent="0.25">
      <c r="B5133"/>
    </row>
    <row r="5134" spans="2:2" x14ac:dyDescent="0.25">
      <c r="B5134"/>
    </row>
    <row r="5135" spans="2:2" x14ac:dyDescent="0.25">
      <c r="B5135"/>
    </row>
    <row r="5136" spans="2:2" x14ac:dyDescent="0.25">
      <c r="B5136"/>
    </row>
    <row r="5137" spans="2:2" x14ac:dyDescent="0.25">
      <c r="B5137"/>
    </row>
    <row r="5138" spans="2:2" x14ac:dyDescent="0.25">
      <c r="B5138"/>
    </row>
    <row r="5139" spans="2:2" x14ac:dyDescent="0.25">
      <c r="B5139"/>
    </row>
    <row r="5140" spans="2:2" x14ac:dyDescent="0.25">
      <c r="B5140"/>
    </row>
    <row r="5141" spans="2:2" x14ac:dyDescent="0.25">
      <c r="B5141"/>
    </row>
    <row r="5142" spans="2:2" x14ac:dyDescent="0.25">
      <c r="B5142"/>
    </row>
    <row r="5143" spans="2:2" x14ac:dyDescent="0.25">
      <c r="B5143"/>
    </row>
    <row r="5144" spans="2:2" x14ac:dyDescent="0.25">
      <c r="B5144"/>
    </row>
    <row r="5145" spans="2:2" x14ac:dyDescent="0.25">
      <c r="B5145"/>
    </row>
    <row r="5146" spans="2:2" x14ac:dyDescent="0.25">
      <c r="B5146"/>
    </row>
    <row r="5147" spans="2:2" x14ac:dyDescent="0.25">
      <c r="B5147"/>
    </row>
    <row r="5148" spans="2:2" x14ac:dyDescent="0.25">
      <c r="B5148"/>
    </row>
    <row r="5149" spans="2:2" x14ac:dyDescent="0.25">
      <c r="B5149"/>
    </row>
    <row r="5150" spans="2:2" x14ac:dyDescent="0.25">
      <c r="B5150"/>
    </row>
    <row r="5151" spans="2:2" x14ac:dyDescent="0.25">
      <c r="B5151"/>
    </row>
    <row r="5152" spans="2:2" x14ac:dyDescent="0.25">
      <c r="B5152"/>
    </row>
    <row r="5153" spans="2:2" x14ac:dyDescent="0.25">
      <c r="B5153"/>
    </row>
    <row r="5154" spans="2:2" x14ac:dyDescent="0.25">
      <c r="B5154"/>
    </row>
    <row r="5155" spans="2:2" x14ac:dyDescent="0.25">
      <c r="B5155"/>
    </row>
    <row r="5156" spans="2:2" x14ac:dyDescent="0.25">
      <c r="B5156"/>
    </row>
    <row r="5157" spans="2:2" x14ac:dyDescent="0.25">
      <c r="B5157"/>
    </row>
    <row r="5158" spans="2:2" x14ac:dyDescent="0.25">
      <c r="B5158"/>
    </row>
    <row r="5159" spans="2:2" x14ac:dyDescent="0.25">
      <c r="B5159"/>
    </row>
    <row r="5160" spans="2:2" x14ac:dyDescent="0.25">
      <c r="B5160"/>
    </row>
    <row r="5161" spans="2:2" x14ac:dyDescent="0.25">
      <c r="B5161"/>
    </row>
    <row r="5162" spans="2:2" x14ac:dyDescent="0.25">
      <c r="B5162"/>
    </row>
    <row r="5163" spans="2:2" x14ac:dyDescent="0.25">
      <c r="B5163"/>
    </row>
    <row r="5164" spans="2:2" x14ac:dyDescent="0.25">
      <c r="B5164"/>
    </row>
    <row r="5165" spans="2:2" x14ac:dyDescent="0.25">
      <c r="B5165"/>
    </row>
    <row r="5166" spans="2:2" x14ac:dyDescent="0.25">
      <c r="B5166"/>
    </row>
    <row r="5167" spans="2:2" x14ac:dyDescent="0.25">
      <c r="B5167"/>
    </row>
    <row r="5168" spans="2:2" x14ac:dyDescent="0.25">
      <c r="B5168"/>
    </row>
    <row r="5169" spans="2:2" x14ac:dyDescent="0.25">
      <c r="B5169"/>
    </row>
    <row r="5170" spans="2:2" x14ac:dyDescent="0.25">
      <c r="B5170"/>
    </row>
    <row r="5171" spans="2:2" x14ac:dyDescent="0.25">
      <c r="B5171"/>
    </row>
    <row r="5172" spans="2:2" x14ac:dyDescent="0.25">
      <c r="B5172"/>
    </row>
    <row r="5173" spans="2:2" x14ac:dyDescent="0.25">
      <c r="B5173"/>
    </row>
    <row r="5174" spans="2:2" x14ac:dyDescent="0.25">
      <c r="B5174"/>
    </row>
    <row r="5175" spans="2:2" x14ac:dyDescent="0.25">
      <c r="B5175"/>
    </row>
    <row r="5176" spans="2:2" x14ac:dyDescent="0.25">
      <c r="B5176"/>
    </row>
    <row r="5177" spans="2:2" x14ac:dyDescent="0.25">
      <c r="B5177"/>
    </row>
    <row r="5178" spans="2:2" x14ac:dyDescent="0.25">
      <c r="B5178"/>
    </row>
    <row r="5179" spans="2:2" x14ac:dyDescent="0.25">
      <c r="B5179"/>
    </row>
    <row r="5180" spans="2:2" x14ac:dyDescent="0.25">
      <c r="B5180"/>
    </row>
    <row r="5181" spans="2:2" x14ac:dyDescent="0.25">
      <c r="B5181"/>
    </row>
    <row r="5182" spans="2:2" x14ac:dyDescent="0.25">
      <c r="B5182"/>
    </row>
    <row r="5183" spans="2:2" x14ac:dyDescent="0.25">
      <c r="B5183"/>
    </row>
    <row r="5184" spans="2:2" x14ac:dyDescent="0.25">
      <c r="B5184"/>
    </row>
    <row r="5185" spans="2:2" x14ac:dyDescent="0.25">
      <c r="B5185"/>
    </row>
    <row r="5186" spans="2:2" x14ac:dyDescent="0.25">
      <c r="B5186"/>
    </row>
    <row r="5187" spans="2:2" x14ac:dyDescent="0.25">
      <c r="B5187"/>
    </row>
    <row r="5188" spans="2:2" x14ac:dyDescent="0.25">
      <c r="B5188"/>
    </row>
    <row r="5189" spans="2:2" x14ac:dyDescent="0.25">
      <c r="B5189"/>
    </row>
    <row r="5190" spans="2:2" x14ac:dyDescent="0.25">
      <c r="B5190"/>
    </row>
    <row r="5191" spans="2:2" x14ac:dyDescent="0.25">
      <c r="B5191"/>
    </row>
    <row r="5192" spans="2:2" x14ac:dyDescent="0.25">
      <c r="B5192"/>
    </row>
    <row r="5193" spans="2:2" x14ac:dyDescent="0.25">
      <c r="B5193"/>
    </row>
    <row r="5194" spans="2:2" x14ac:dyDescent="0.25">
      <c r="B5194"/>
    </row>
    <row r="5195" spans="2:2" x14ac:dyDescent="0.25">
      <c r="B5195"/>
    </row>
    <row r="5196" spans="2:2" x14ac:dyDescent="0.25">
      <c r="B5196"/>
    </row>
    <row r="5197" spans="2:2" x14ac:dyDescent="0.25">
      <c r="B5197"/>
    </row>
    <row r="5198" spans="2:2" x14ac:dyDescent="0.25">
      <c r="B5198"/>
    </row>
    <row r="5199" spans="2:2" x14ac:dyDescent="0.25">
      <c r="B5199"/>
    </row>
    <row r="5200" spans="2:2" x14ac:dyDescent="0.25">
      <c r="B5200"/>
    </row>
    <row r="5201" spans="2:2" x14ac:dyDescent="0.25">
      <c r="B5201"/>
    </row>
    <row r="5202" spans="2:2" x14ac:dyDescent="0.25">
      <c r="B5202"/>
    </row>
    <row r="5203" spans="2:2" x14ac:dyDescent="0.25">
      <c r="B5203"/>
    </row>
    <row r="5204" spans="2:2" x14ac:dyDescent="0.25">
      <c r="B5204"/>
    </row>
    <row r="5205" spans="2:2" x14ac:dyDescent="0.25">
      <c r="B5205"/>
    </row>
    <row r="5206" spans="2:2" x14ac:dyDescent="0.25">
      <c r="B5206"/>
    </row>
    <row r="5207" spans="2:2" x14ac:dyDescent="0.25">
      <c r="B5207"/>
    </row>
    <row r="5208" spans="2:2" x14ac:dyDescent="0.25">
      <c r="B5208"/>
    </row>
    <row r="5209" spans="2:2" x14ac:dyDescent="0.25">
      <c r="B5209"/>
    </row>
    <row r="5210" spans="2:2" x14ac:dyDescent="0.25">
      <c r="B5210"/>
    </row>
    <row r="5211" spans="2:2" x14ac:dyDescent="0.25">
      <c r="B5211"/>
    </row>
    <row r="5212" spans="2:2" x14ac:dyDescent="0.25">
      <c r="B5212"/>
    </row>
    <row r="5213" spans="2:2" x14ac:dyDescent="0.25">
      <c r="B5213"/>
    </row>
    <row r="5214" spans="2:2" x14ac:dyDescent="0.25">
      <c r="B5214"/>
    </row>
    <row r="5215" spans="2:2" x14ac:dyDescent="0.25">
      <c r="B5215"/>
    </row>
    <row r="5216" spans="2:2" x14ac:dyDescent="0.25">
      <c r="B5216"/>
    </row>
    <row r="5217" spans="2:2" x14ac:dyDescent="0.25">
      <c r="B5217"/>
    </row>
    <row r="5218" spans="2:2" x14ac:dyDescent="0.25">
      <c r="B5218"/>
    </row>
    <row r="5219" spans="2:2" x14ac:dyDescent="0.25">
      <c r="B5219"/>
    </row>
    <row r="5220" spans="2:2" x14ac:dyDescent="0.25">
      <c r="B5220"/>
    </row>
    <row r="5221" spans="2:2" x14ac:dyDescent="0.25">
      <c r="B5221"/>
    </row>
    <row r="5222" spans="2:2" x14ac:dyDescent="0.25">
      <c r="B5222"/>
    </row>
    <row r="5223" spans="2:2" x14ac:dyDescent="0.25">
      <c r="B5223"/>
    </row>
    <row r="5224" spans="2:2" x14ac:dyDescent="0.25">
      <c r="B5224"/>
    </row>
    <row r="5225" spans="2:2" x14ac:dyDescent="0.25">
      <c r="B5225"/>
    </row>
    <row r="5226" spans="2:2" x14ac:dyDescent="0.25">
      <c r="B5226"/>
    </row>
    <row r="5227" spans="2:2" x14ac:dyDescent="0.25">
      <c r="B5227"/>
    </row>
    <row r="5228" spans="2:2" x14ac:dyDescent="0.25">
      <c r="B5228"/>
    </row>
    <row r="5229" spans="2:2" x14ac:dyDescent="0.25">
      <c r="B5229"/>
    </row>
    <row r="5230" spans="2:2" x14ac:dyDescent="0.25">
      <c r="B5230"/>
    </row>
    <row r="5231" spans="2:2" x14ac:dyDescent="0.25">
      <c r="B5231"/>
    </row>
    <row r="5232" spans="2:2" x14ac:dyDescent="0.25">
      <c r="B5232"/>
    </row>
    <row r="5233" spans="2:2" x14ac:dyDescent="0.25">
      <c r="B5233"/>
    </row>
    <row r="5234" spans="2:2" x14ac:dyDescent="0.25">
      <c r="B5234"/>
    </row>
    <row r="5235" spans="2:2" x14ac:dyDescent="0.25">
      <c r="B5235"/>
    </row>
    <row r="5236" spans="2:2" x14ac:dyDescent="0.25">
      <c r="B5236"/>
    </row>
    <row r="5237" spans="2:2" x14ac:dyDescent="0.25">
      <c r="B5237"/>
    </row>
    <row r="5238" spans="2:2" x14ac:dyDescent="0.25">
      <c r="B5238"/>
    </row>
    <row r="5239" spans="2:2" x14ac:dyDescent="0.25">
      <c r="B5239"/>
    </row>
    <row r="5240" spans="2:2" x14ac:dyDescent="0.25">
      <c r="B5240"/>
    </row>
    <row r="5241" spans="2:2" x14ac:dyDescent="0.25">
      <c r="B5241"/>
    </row>
    <row r="5242" spans="2:2" x14ac:dyDescent="0.25">
      <c r="B5242"/>
    </row>
    <row r="5243" spans="2:2" x14ac:dyDescent="0.25">
      <c r="B5243"/>
    </row>
    <row r="5244" spans="2:2" x14ac:dyDescent="0.25">
      <c r="B5244"/>
    </row>
    <row r="5245" spans="2:2" x14ac:dyDescent="0.25">
      <c r="B5245"/>
    </row>
    <row r="5246" spans="2:2" x14ac:dyDescent="0.25">
      <c r="B5246"/>
    </row>
    <row r="5247" spans="2:2" x14ac:dyDescent="0.25">
      <c r="B5247"/>
    </row>
    <row r="5248" spans="2:2" x14ac:dyDescent="0.25">
      <c r="B5248"/>
    </row>
    <row r="5249" spans="2:2" x14ac:dyDescent="0.25">
      <c r="B5249"/>
    </row>
    <row r="5250" spans="2:2" x14ac:dyDescent="0.25">
      <c r="B5250"/>
    </row>
    <row r="5251" spans="2:2" x14ac:dyDescent="0.25">
      <c r="B5251"/>
    </row>
    <row r="5252" spans="2:2" x14ac:dyDescent="0.25">
      <c r="B5252"/>
    </row>
    <row r="5253" spans="2:2" x14ac:dyDescent="0.25">
      <c r="B5253"/>
    </row>
    <row r="5254" spans="2:2" x14ac:dyDescent="0.25">
      <c r="B5254"/>
    </row>
    <row r="5255" spans="2:2" x14ac:dyDescent="0.25">
      <c r="B5255"/>
    </row>
    <row r="5256" spans="2:2" x14ac:dyDescent="0.25">
      <c r="B5256"/>
    </row>
    <row r="5257" spans="2:2" x14ac:dyDescent="0.25">
      <c r="B5257"/>
    </row>
    <row r="5258" spans="2:2" x14ac:dyDescent="0.25">
      <c r="B5258"/>
    </row>
    <row r="5259" spans="2:2" x14ac:dyDescent="0.25">
      <c r="B5259"/>
    </row>
    <row r="5260" spans="2:2" x14ac:dyDescent="0.25">
      <c r="B5260"/>
    </row>
    <row r="5261" spans="2:2" x14ac:dyDescent="0.25">
      <c r="B5261"/>
    </row>
    <row r="5262" spans="2:2" x14ac:dyDescent="0.25">
      <c r="B5262"/>
    </row>
    <row r="5263" spans="2:2" x14ac:dyDescent="0.25">
      <c r="B5263"/>
    </row>
    <row r="5264" spans="2:2" x14ac:dyDescent="0.25">
      <c r="B5264"/>
    </row>
    <row r="5265" spans="2:2" x14ac:dyDescent="0.25">
      <c r="B5265"/>
    </row>
    <row r="5266" spans="2:2" x14ac:dyDescent="0.25">
      <c r="B5266"/>
    </row>
    <row r="5267" spans="2:2" x14ac:dyDescent="0.25">
      <c r="B5267"/>
    </row>
    <row r="5268" spans="2:2" x14ac:dyDescent="0.25">
      <c r="B5268"/>
    </row>
    <row r="5269" spans="2:2" x14ac:dyDescent="0.25">
      <c r="B5269"/>
    </row>
    <row r="5270" spans="2:2" x14ac:dyDescent="0.25">
      <c r="B5270"/>
    </row>
    <row r="5271" spans="2:2" x14ac:dyDescent="0.25">
      <c r="B5271"/>
    </row>
    <row r="5272" spans="2:2" x14ac:dyDescent="0.25">
      <c r="B5272"/>
    </row>
    <row r="5273" spans="2:2" x14ac:dyDescent="0.25">
      <c r="B5273"/>
    </row>
    <row r="5274" spans="2:2" x14ac:dyDescent="0.25">
      <c r="B5274"/>
    </row>
    <row r="5275" spans="2:2" x14ac:dyDescent="0.25">
      <c r="B5275"/>
    </row>
    <row r="5276" spans="2:2" x14ac:dyDescent="0.25">
      <c r="B5276"/>
    </row>
    <row r="5277" spans="2:2" x14ac:dyDescent="0.25">
      <c r="B5277"/>
    </row>
    <row r="5278" spans="2:2" x14ac:dyDescent="0.25">
      <c r="B5278"/>
    </row>
    <row r="5279" spans="2:2" x14ac:dyDescent="0.25">
      <c r="B5279"/>
    </row>
    <row r="5280" spans="2:2" x14ac:dyDescent="0.25">
      <c r="B5280"/>
    </row>
    <row r="5281" spans="2:2" x14ac:dyDescent="0.25">
      <c r="B5281"/>
    </row>
    <row r="5282" spans="2:2" x14ac:dyDescent="0.25">
      <c r="B5282"/>
    </row>
    <row r="5283" spans="2:2" x14ac:dyDescent="0.25">
      <c r="B5283"/>
    </row>
    <row r="5284" spans="2:2" x14ac:dyDescent="0.25">
      <c r="B5284"/>
    </row>
    <row r="5285" spans="2:2" x14ac:dyDescent="0.25">
      <c r="B5285"/>
    </row>
    <row r="5286" spans="2:2" x14ac:dyDescent="0.25">
      <c r="B5286"/>
    </row>
    <row r="5287" spans="2:2" x14ac:dyDescent="0.25">
      <c r="B5287"/>
    </row>
    <row r="5288" spans="2:2" x14ac:dyDescent="0.25">
      <c r="B5288"/>
    </row>
    <row r="5289" spans="2:2" x14ac:dyDescent="0.25">
      <c r="B5289"/>
    </row>
    <row r="5290" spans="2:2" x14ac:dyDescent="0.25">
      <c r="B5290"/>
    </row>
    <row r="5291" spans="2:2" x14ac:dyDescent="0.25">
      <c r="B5291"/>
    </row>
    <row r="5292" spans="2:2" x14ac:dyDescent="0.25">
      <c r="B5292"/>
    </row>
    <row r="5293" spans="2:2" x14ac:dyDescent="0.25">
      <c r="B5293"/>
    </row>
    <row r="5294" spans="2:2" x14ac:dyDescent="0.25">
      <c r="B5294"/>
    </row>
    <row r="5295" spans="2:2" x14ac:dyDescent="0.25">
      <c r="B5295"/>
    </row>
    <row r="5296" spans="2:2" x14ac:dyDescent="0.25">
      <c r="B5296"/>
    </row>
    <row r="5297" spans="2:2" x14ac:dyDescent="0.25">
      <c r="B5297"/>
    </row>
    <row r="5298" spans="2:2" x14ac:dyDescent="0.25">
      <c r="B5298"/>
    </row>
    <row r="5299" spans="2:2" x14ac:dyDescent="0.25">
      <c r="B5299"/>
    </row>
    <row r="5300" spans="2:2" x14ac:dyDescent="0.25">
      <c r="B5300"/>
    </row>
    <row r="5301" spans="2:2" x14ac:dyDescent="0.25">
      <c r="B5301"/>
    </row>
    <row r="5302" spans="2:2" x14ac:dyDescent="0.25">
      <c r="B5302"/>
    </row>
    <row r="5303" spans="2:2" x14ac:dyDescent="0.25">
      <c r="B5303"/>
    </row>
    <row r="5304" spans="2:2" x14ac:dyDescent="0.25">
      <c r="B5304"/>
    </row>
    <row r="5305" spans="2:2" x14ac:dyDescent="0.25">
      <c r="B5305"/>
    </row>
    <row r="5306" spans="2:2" x14ac:dyDescent="0.25">
      <c r="B5306"/>
    </row>
    <row r="5307" spans="2:2" x14ac:dyDescent="0.25">
      <c r="B5307"/>
    </row>
    <row r="5308" spans="2:2" x14ac:dyDescent="0.25">
      <c r="B5308"/>
    </row>
    <row r="5309" spans="2:2" x14ac:dyDescent="0.25">
      <c r="B5309"/>
    </row>
    <row r="5310" spans="2:2" x14ac:dyDescent="0.25">
      <c r="B5310"/>
    </row>
    <row r="5311" spans="2:2" x14ac:dyDescent="0.25">
      <c r="B5311"/>
    </row>
    <row r="5312" spans="2:2" x14ac:dyDescent="0.25">
      <c r="B5312"/>
    </row>
    <row r="5313" spans="2:2" x14ac:dyDescent="0.25">
      <c r="B5313"/>
    </row>
    <row r="5314" spans="2:2" x14ac:dyDescent="0.25">
      <c r="B5314"/>
    </row>
    <row r="5315" spans="2:2" x14ac:dyDescent="0.25">
      <c r="B5315"/>
    </row>
    <row r="5316" spans="2:2" x14ac:dyDescent="0.25">
      <c r="B5316"/>
    </row>
    <row r="5317" spans="2:2" x14ac:dyDescent="0.25">
      <c r="B5317"/>
    </row>
    <row r="5318" spans="2:2" x14ac:dyDescent="0.25">
      <c r="B5318"/>
    </row>
    <row r="5319" spans="2:2" x14ac:dyDescent="0.25">
      <c r="B5319"/>
    </row>
    <row r="5320" spans="2:2" x14ac:dyDescent="0.25">
      <c r="B5320"/>
    </row>
    <row r="5321" spans="2:2" x14ac:dyDescent="0.25">
      <c r="B5321"/>
    </row>
    <row r="5322" spans="2:2" x14ac:dyDescent="0.25">
      <c r="B5322"/>
    </row>
    <row r="5323" spans="2:2" x14ac:dyDescent="0.25">
      <c r="B5323"/>
    </row>
    <row r="5324" spans="2:2" x14ac:dyDescent="0.25">
      <c r="B5324"/>
    </row>
    <row r="5325" spans="2:2" x14ac:dyDescent="0.25">
      <c r="B5325"/>
    </row>
    <row r="5326" spans="2:2" x14ac:dyDescent="0.25">
      <c r="B5326"/>
    </row>
    <row r="5327" spans="2:2" x14ac:dyDescent="0.25">
      <c r="B5327"/>
    </row>
    <row r="5328" spans="2:2" x14ac:dyDescent="0.25">
      <c r="B5328"/>
    </row>
    <row r="5329" spans="2:2" x14ac:dyDescent="0.25">
      <c r="B5329"/>
    </row>
    <row r="5330" spans="2:2" x14ac:dyDescent="0.25">
      <c r="B5330"/>
    </row>
    <row r="5331" spans="2:2" x14ac:dyDescent="0.25">
      <c r="B5331"/>
    </row>
    <row r="5332" spans="2:2" x14ac:dyDescent="0.25">
      <c r="B5332"/>
    </row>
    <row r="5333" spans="2:2" x14ac:dyDescent="0.25">
      <c r="B5333"/>
    </row>
    <row r="5334" spans="2:2" x14ac:dyDescent="0.25">
      <c r="B5334"/>
    </row>
    <row r="5335" spans="2:2" x14ac:dyDescent="0.25">
      <c r="B5335"/>
    </row>
    <row r="5336" spans="2:2" x14ac:dyDescent="0.25">
      <c r="B5336"/>
    </row>
    <row r="5337" spans="2:2" x14ac:dyDescent="0.25">
      <c r="B5337"/>
    </row>
    <row r="5338" spans="2:2" x14ac:dyDescent="0.25">
      <c r="B5338"/>
    </row>
    <row r="5339" spans="2:2" x14ac:dyDescent="0.25">
      <c r="B5339"/>
    </row>
    <row r="5340" spans="2:2" x14ac:dyDescent="0.25">
      <c r="B5340"/>
    </row>
    <row r="5341" spans="2:2" x14ac:dyDescent="0.25">
      <c r="B5341"/>
    </row>
    <row r="5342" spans="2:2" x14ac:dyDescent="0.25">
      <c r="B5342"/>
    </row>
    <row r="5343" spans="2:2" x14ac:dyDescent="0.25">
      <c r="B5343"/>
    </row>
    <row r="5344" spans="2:2" x14ac:dyDescent="0.25">
      <c r="B5344"/>
    </row>
    <row r="5345" spans="2:2" x14ac:dyDescent="0.25">
      <c r="B5345"/>
    </row>
    <row r="5346" spans="2:2" x14ac:dyDescent="0.25">
      <c r="B5346"/>
    </row>
    <row r="5347" spans="2:2" x14ac:dyDescent="0.25">
      <c r="B5347"/>
    </row>
    <row r="5348" spans="2:2" x14ac:dyDescent="0.25">
      <c r="B5348"/>
    </row>
    <row r="5349" spans="2:2" x14ac:dyDescent="0.25">
      <c r="B5349"/>
    </row>
    <row r="5350" spans="2:2" x14ac:dyDescent="0.25">
      <c r="B5350"/>
    </row>
    <row r="5351" spans="2:2" x14ac:dyDescent="0.25">
      <c r="B5351"/>
    </row>
    <row r="5352" spans="2:2" x14ac:dyDescent="0.25">
      <c r="B5352"/>
    </row>
    <row r="5353" spans="2:2" x14ac:dyDescent="0.25">
      <c r="B5353"/>
    </row>
    <row r="5354" spans="2:2" x14ac:dyDescent="0.25">
      <c r="B5354"/>
    </row>
    <row r="5355" spans="2:2" x14ac:dyDescent="0.25">
      <c r="B5355"/>
    </row>
    <row r="5356" spans="2:2" x14ac:dyDescent="0.25">
      <c r="B5356"/>
    </row>
    <row r="5357" spans="2:2" x14ac:dyDescent="0.25">
      <c r="B5357"/>
    </row>
    <row r="5358" spans="2:2" x14ac:dyDescent="0.25">
      <c r="B5358"/>
    </row>
    <row r="5359" spans="2:2" x14ac:dyDescent="0.25">
      <c r="B5359"/>
    </row>
    <row r="5360" spans="2:2" x14ac:dyDescent="0.25">
      <c r="B5360"/>
    </row>
    <row r="5361" spans="2:2" x14ac:dyDescent="0.25">
      <c r="B5361"/>
    </row>
    <row r="5362" spans="2:2" x14ac:dyDescent="0.25">
      <c r="B5362"/>
    </row>
    <row r="5363" spans="2:2" x14ac:dyDescent="0.25">
      <c r="B5363"/>
    </row>
    <row r="5364" spans="2:2" x14ac:dyDescent="0.25">
      <c r="B5364"/>
    </row>
    <row r="5365" spans="2:2" x14ac:dyDescent="0.25">
      <c r="B5365"/>
    </row>
    <row r="5366" spans="2:2" x14ac:dyDescent="0.25">
      <c r="B5366"/>
    </row>
    <row r="5367" spans="2:2" x14ac:dyDescent="0.25">
      <c r="B5367"/>
    </row>
    <row r="5368" spans="2:2" x14ac:dyDescent="0.25">
      <c r="B5368"/>
    </row>
    <row r="5369" spans="2:2" x14ac:dyDescent="0.25">
      <c r="B5369"/>
    </row>
    <row r="5370" spans="2:2" x14ac:dyDescent="0.25">
      <c r="B5370"/>
    </row>
    <row r="5371" spans="2:2" x14ac:dyDescent="0.25">
      <c r="B5371"/>
    </row>
    <row r="5372" spans="2:2" x14ac:dyDescent="0.25">
      <c r="B5372"/>
    </row>
    <row r="5373" spans="2:2" x14ac:dyDescent="0.25">
      <c r="B5373"/>
    </row>
    <row r="5374" spans="2:2" x14ac:dyDescent="0.25">
      <c r="B5374"/>
    </row>
    <row r="5375" spans="2:2" x14ac:dyDescent="0.25">
      <c r="B5375"/>
    </row>
    <row r="5376" spans="2:2" x14ac:dyDescent="0.25">
      <c r="B5376"/>
    </row>
    <row r="5377" spans="2:2" x14ac:dyDescent="0.25">
      <c r="B5377"/>
    </row>
    <row r="5378" spans="2:2" x14ac:dyDescent="0.25">
      <c r="B5378"/>
    </row>
    <row r="5379" spans="2:2" x14ac:dyDescent="0.25">
      <c r="B5379"/>
    </row>
    <row r="5380" spans="2:2" x14ac:dyDescent="0.25">
      <c r="B5380"/>
    </row>
    <row r="5381" spans="2:2" x14ac:dyDescent="0.25">
      <c r="B5381"/>
    </row>
    <row r="5382" spans="2:2" x14ac:dyDescent="0.25">
      <c r="B5382"/>
    </row>
    <row r="5383" spans="2:2" x14ac:dyDescent="0.25">
      <c r="B5383"/>
    </row>
    <row r="5384" spans="2:2" x14ac:dyDescent="0.25">
      <c r="B5384"/>
    </row>
    <row r="5385" spans="2:2" x14ac:dyDescent="0.25">
      <c r="B5385"/>
    </row>
    <row r="5386" spans="2:2" x14ac:dyDescent="0.25">
      <c r="B5386"/>
    </row>
    <row r="5387" spans="2:2" x14ac:dyDescent="0.25">
      <c r="B5387"/>
    </row>
    <row r="5388" spans="2:2" x14ac:dyDescent="0.25">
      <c r="B5388"/>
    </row>
    <row r="5389" spans="2:2" x14ac:dyDescent="0.25">
      <c r="B5389"/>
    </row>
    <row r="5390" spans="2:2" x14ac:dyDescent="0.25">
      <c r="B5390"/>
    </row>
    <row r="5391" spans="2:2" x14ac:dyDescent="0.25">
      <c r="B5391"/>
    </row>
    <row r="5392" spans="2:2" x14ac:dyDescent="0.25">
      <c r="B5392"/>
    </row>
    <row r="5393" spans="2:2" x14ac:dyDescent="0.25">
      <c r="B5393"/>
    </row>
    <row r="5394" spans="2:2" x14ac:dyDescent="0.25">
      <c r="B5394"/>
    </row>
    <row r="5395" spans="2:2" x14ac:dyDescent="0.25">
      <c r="B5395"/>
    </row>
    <row r="5396" spans="2:2" x14ac:dyDescent="0.25">
      <c r="B5396"/>
    </row>
    <row r="5397" spans="2:2" x14ac:dyDescent="0.25">
      <c r="B5397"/>
    </row>
    <row r="5398" spans="2:2" x14ac:dyDescent="0.25">
      <c r="B5398"/>
    </row>
    <row r="5399" spans="2:2" x14ac:dyDescent="0.25">
      <c r="B5399"/>
    </row>
    <row r="5400" spans="2:2" x14ac:dyDescent="0.25">
      <c r="B5400"/>
    </row>
    <row r="5401" spans="2:2" x14ac:dyDescent="0.25">
      <c r="B5401"/>
    </row>
    <row r="5402" spans="2:2" x14ac:dyDescent="0.25">
      <c r="B5402"/>
    </row>
    <row r="5403" spans="2:2" x14ac:dyDescent="0.25">
      <c r="B5403"/>
    </row>
    <row r="5404" spans="2:2" x14ac:dyDescent="0.25">
      <c r="B5404"/>
    </row>
    <row r="5405" spans="2:2" x14ac:dyDescent="0.25">
      <c r="B5405"/>
    </row>
    <row r="5406" spans="2:2" x14ac:dyDescent="0.25">
      <c r="B5406"/>
    </row>
    <row r="5407" spans="2:2" x14ac:dyDescent="0.25">
      <c r="B5407"/>
    </row>
    <row r="5408" spans="2:2" x14ac:dyDescent="0.25">
      <c r="B5408"/>
    </row>
    <row r="5409" spans="2:2" x14ac:dyDescent="0.25">
      <c r="B5409"/>
    </row>
    <row r="5410" spans="2:2" x14ac:dyDescent="0.25">
      <c r="B5410"/>
    </row>
    <row r="5411" spans="2:2" x14ac:dyDescent="0.25">
      <c r="B5411"/>
    </row>
    <row r="5412" spans="2:2" x14ac:dyDescent="0.25">
      <c r="B5412"/>
    </row>
    <row r="5413" spans="2:2" x14ac:dyDescent="0.25">
      <c r="B5413"/>
    </row>
    <row r="5414" spans="2:2" x14ac:dyDescent="0.25">
      <c r="B5414"/>
    </row>
    <row r="5415" spans="2:2" x14ac:dyDescent="0.25">
      <c r="B5415"/>
    </row>
    <row r="5416" spans="2:2" x14ac:dyDescent="0.25">
      <c r="B5416"/>
    </row>
    <row r="5417" spans="2:2" x14ac:dyDescent="0.25">
      <c r="B5417"/>
    </row>
    <row r="5418" spans="2:2" x14ac:dyDescent="0.25">
      <c r="B5418"/>
    </row>
    <row r="5419" spans="2:2" x14ac:dyDescent="0.25">
      <c r="B5419"/>
    </row>
    <row r="5420" spans="2:2" x14ac:dyDescent="0.25">
      <c r="B5420"/>
    </row>
    <row r="5421" spans="2:2" x14ac:dyDescent="0.25">
      <c r="B5421"/>
    </row>
    <row r="5422" spans="2:2" x14ac:dyDescent="0.25">
      <c r="B5422"/>
    </row>
    <row r="5423" spans="2:2" x14ac:dyDescent="0.25">
      <c r="B5423"/>
    </row>
    <row r="5424" spans="2:2" x14ac:dyDescent="0.25">
      <c r="B5424"/>
    </row>
    <row r="5425" spans="2:2" x14ac:dyDescent="0.25">
      <c r="B5425"/>
    </row>
    <row r="5426" spans="2:2" x14ac:dyDescent="0.25">
      <c r="B5426"/>
    </row>
    <row r="5427" spans="2:2" x14ac:dyDescent="0.25">
      <c r="B5427"/>
    </row>
    <row r="5428" spans="2:2" x14ac:dyDescent="0.25">
      <c r="B5428"/>
    </row>
    <row r="5429" spans="2:2" x14ac:dyDescent="0.25">
      <c r="B5429"/>
    </row>
    <row r="5430" spans="2:2" x14ac:dyDescent="0.25">
      <c r="B5430"/>
    </row>
    <row r="5431" spans="2:2" x14ac:dyDescent="0.25">
      <c r="B5431"/>
    </row>
    <row r="5432" spans="2:2" x14ac:dyDescent="0.25">
      <c r="B5432"/>
    </row>
    <row r="5433" spans="2:2" x14ac:dyDescent="0.25">
      <c r="B5433"/>
    </row>
    <row r="5434" spans="2:2" x14ac:dyDescent="0.25">
      <c r="B5434"/>
    </row>
    <row r="5435" spans="2:2" x14ac:dyDescent="0.25">
      <c r="B5435"/>
    </row>
    <row r="5436" spans="2:2" x14ac:dyDescent="0.25">
      <c r="B5436"/>
    </row>
    <row r="5437" spans="2:2" x14ac:dyDescent="0.25">
      <c r="B5437"/>
    </row>
    <row r="5438" spans="2:2" x14ac:dyDescent="0.25">
      <c r="B5438"/>
    </row>
    <row r="5439" spans="2:2" x14ac:dyDescent="0.25">
      <c r="B5439"/>
    </row>
    <row r="5440" spans="2:2" x14ac:dyDescent="0.25">
      <c r="B5440"/>
    </row>
    <row r="5441" spans="2:2" x14ac:dyDescent="0.25">
      <c r="B5441"/>
    </row>
    <row r="5442" spans="2:2" x14ac:dyDescent="0.25">
      <c r="B5442"/>
    </row>
    <row r="5443" spans="2:2" x14ac:dyDescent="0.25">
      <c r="B5443"/>
    </row>
    <row r="5444" spans="2:2" x14ac:dyDescent="0.25">
      <c r="B5444"/>
    </row>
    <row r="5445" spans="2:2" x14ac:dyDescent="0.25">
      <c r="B5445"/>
    </row>
    <row r="5446" spans="2:2" x14ac:dyDescent="0.25">
      <c r="B5446"/>
    </row>
    <row r="5447" spans="2:2" x14ac:dyDescent="0.25">
      <c r="B5447"/>
    </row>
    <row r="5448" spans="2:2" x14ac:dyDescent="0.25">
      <c r="B5448"/>
    </row>
    <row r="5449" spans="2:2" x14ac:dyDescent="0.25">
      <c r="B5449"/>
    </row>
    <row r="5450" spans="2:2" x14ac:dyDescent="0.25">
      <c r="B5450"/>
    </row>
    <row r="5451" spans="2:2" x14ac:dyDescent="0.25">
      <c r="B5451"/>
    </row>
    <row r="5452" spans="2:2" x14ac:dyDescent="0.25">
      <c r="B5452"/>
    </row>
    <row r="5453" spans="2:2" x14ac:dyDescent="0.25">
      <c r="B5453"/>
    </row>
    <row r="5454" spans="2:2" x14ac:dyDescent="0.25">
      <c r="B5454"/>
    </row>
    <row r="5455" spans="2:2" x14ac:dyDescent="0.25">
      <c r="B5455"/>
    </row>
    <row r="5456" spans="2:2" x14ac:dyDescent="0.25">
      <c r="B5456"/>
    </row>
    <row r="5457" spans="2:2" x14ac:dyDescent="0.25">
      <c r="B5457"/>
    </row>
    <row r="5458" spans="2:2" x14ac:dyDescent="0.25">
      <c r="B5458"/>
    </row>
    <row r="5459" spans="2:2" x14ac:dyDescent="0.25">
      <c r="B5459"/>
    </row>
    <row r="5460" spans="2:2" x14ac:dyDescent="0.25">
      <c r="B5460"/>
    </row>
    <row r="5461" spans="2:2" x14ac:dyDescent="0.25">
      <c r="B5461"/>
    </row>
    <row r="5462" spans="2:2" x14ac:dyDescent="0.25">
      <c r="B5462"/>
    </row>
    <row r="5463" spans="2:2" x14ac:dyDescent="0.25">
      <c r="B5463"/>
    </row>
    <row r="5464" spans="2:2" x14ac:dyDescent="0.25">
      <c r="B5464"/>
    </row>
    <row r="5465" spans="2:2" x14ac:dyDescent="0.25">
      <c r="B5465"/>
    </row>
    <row r="5466" spans="2:2" x14ac:dyDescent="0.25">
      <c r="B5466"/>
    </row>
    <row r="5467" spans="2:2" x14ac:dyDescent="0.25">
      <c r="B5467"/>
    </row>
    <row r="5468" spans="2:2" x14ac:dyDescent="0.25">
      <c r="B5468"/>
    </row>
    <row r="5469" spans="2:2" x14ac:dyDescent="0.25">
      <c r="B5469"/>
    </row>
    <row r="5470" spans="2:2" x14ac:dyDescent="0.25">
      <c r="B5470"/>
    </row>
    <row r="5471" spans="2:2" x14ac:dyDescent="0.25">
      <c r="B5471"/>
    </row>
    <row r="5472" spans="2:2" x14ac:dyDescent="0.25">
      <c r="B5472"/>
    </row>
    <row r="5473" spans="2:2" x14ac:dyDescent="0.25">
      <c r="B5473"/>
    </row>
    <row r="5474" spans="2:2" x14ac:dyDescent="0.25">
      <c r="B5474"/>
    </row>
    <row r="5475" spans="2:2" x14ac:dyDescent="0.25">
      <c r="B5475"/>
    </row>
    <row r="5476" spans="2:2" x14ac:dyDescent="0.25">
      <c r="B5476"/>
    </row>
    <row r="5477" spans="2:2" x14ac:dyDescent="0.25">
      <c r="B5477"/>
    </row>
    <row r="5478" spans="2:2" x14ac:dyDescent="0.25">
      <c r="B5478"/>
    </row>
    <row r="5479" spans="2:2" x14ac:dyDescent="0.25">
      <c r="B5479"/>
    </row>
    <row r="5480" spans="2:2" x14ac:dyDescent="0.25">
      <c r="B5480"/>
    </row>
    <row r="5481" spans="2:2" x14ac:dyDescent="0.25">
      <c r="B5481"/>
    </row>
    <row r="5482" spans="2:2" x14ac:dyDescent="0.25">
      <c r="B5482"/>
    </row>
    <row r="5483" spans="2:2" x14ac:dyDescent="0.25">
      <c r="B5483"/>
    </row>
    <row r="5484" spans="2:2" x14ac:dyDescent="0.25">
      <c r="B5484"/>
    </row>
    <row r="5485" spans="2:2" x14ac:dyDescent="0.25">
      <c r="B5485"/>
    </row>
    <row r="5486" spans="2:2" x14ac:dyDescent="0.25">
      <c r="B5486"/>
    </row>
    <row r="5487" spans="2:2" x14ac:dyDescent="0.25">
      <c r="B5487"/>
    </row>
    <row r="5488" spans="2:2" x14ac:dyDescent="0.25">
      <c r="B5488"/>
    </row>
    <row r="5489" spans="2:2" x14ac:dyDescent="0.25">
      <c r="B5489"/>
    </row>
    <row r="5490" spans="2:2" x14ac:dyDescent="0.25">
      <c r="B5490"/>
    </row>
    <row r="5491" spans="2:2" x14ac:dyDescent="0.25">
      <c r="B5491"/>
    </row>
    <row r="5492" spans="2:2" x14ac:dyDescent="0.25">
      <c r="B5492"/>
    </row>
    <row r="5493" spans="2:2" x14ac:dyDescent="0.25">
      <c r="B5493"/>
    </row>
    <row r="5494" spans="2:2" x14ac:dyDescent="0.25">
      <c r="B5494"/>
    </row>
    <row r="5495" spans="2:2" x14ac:dyDescent="0.25">
      <c r="B5495"/>
    </row>
    <row r="5496" spans="2:2" x14ac:dyDescent="0.25">
      <c r="B5496"/>
    </row>
    <row r="5497" spans="2:2" x14ac:dyDescent="0.25">
      <c r="B5497"/>
    </row>
    <row r="5498" spans="2:2" x14ac:dyDescent="0.25">
      <c r="B5498"/>
    </row>
    <row r="5499" spans="2:2" x14ac:dyDescent="0.25">
      <c r="B5499"/>
    </row>
    <row r="5500" spans="2:2" x14ac:dyDescent="0.25">
      <c r="B5500"/>
    </row>
    <row r="5501" spans="2:2" x14ac:dyDescent="0.25">
      <c r="B5501"/>
    </row>
    <row r="5502" spans="2:2" x14ac:dyDescent="0.25">
      <c r="B5502"/>
    </row>
    <row r="5503" spans="2:2" x14ac:dyDescent="0.25">
      <c r="B5503"/>
    </row>
    <row r="5504" spans="2:2" x14ac:dyDescent="0.25">
      <c r="B5504"/>
    </row>
    <row r="5505" spans="2:2" x14ac:dyDescent="0.25">
      <c r="B5505"/>
    </row>
    <row r="5506" spans="2:2" x14ac:dyDescent="0.25">
      <c r="B5506"/>
    </row>
    <row r="5507" spans="2:2" x14ac:dyDescent="0.25">
      <c r="B5507"/>
    </row>
    <row r="5508" spans="2:2" x14ac:dyDescent="0.25">
      <c r="B5508"/>
    </row>
    <row r="5509" spans="2:2" x14ac:dyDescent="0.25">
      <c r="B5509"/>
    </row>
    <row r="5510" spans="2:2" x14ac:dyDescent="0.25">
      <c r="B5510"/>
    </row>
    <row r="5511" spans="2:2" x14ac:dyDescent="0.25">
      <c r="B5511"/>
    </row>
    <row r="5512" spans="2:2" x14ac:dyDescent="0.25">
      <c r="B5512"/>
    </row>
    <row r="5513" spans="2:2" x14ac:dyDescent="0.25">
      <c r="B5513"/>
    </row>
    <row r="5514" spans="2:2" x14ac:dyDescent="0.25">
      <c r="B5514"/>
    </row>
    <row r="5515" spans="2:2" x14ac:dyDescent="0.25">
      <c r="B5515"/>
    </row>
    <row r="5516" spans="2:2" x14ac:dyDescent="0.25">
      <c r="B5516"/>
    </row>
    <row r="5517" spans="2:2" x14ac:dyDescent="0.25">
      <c r="B5517"/>
    </row>
    <row r="5518" spans="2:2" x14ac:dyDescent="0.25">
      <c r="B5518"/>
    </row>
    <row r="5519" spans="2:2" x14ac:dyDescent="0.25">
      <c r="B5519"/>
    </row>
    <row r="5520" spans="2:2" x14ac:dyDescent="0.25">
      <c r="B5520"/>
    </row>
    <row r="5521" spans="2:2" x14ac:dyDescent="0.25">
      <c r="B5521"/>
    </row>
    <row r="5522" spans="2:2" x14ac:dyDescent="0.25">
      <c r="B5522"/>
    </row>
    <row r="5523" spans="2:2" x14ac:dyDescent="0.25">
      <c r="B5523"/>
    </row>
    <row r="5524" spans="2:2" x14ac:dyDescent="0.25">
      <c r="B5524"/>
    </row>
    <row r="5525" spans="2:2" x14ac:dyDescent="0.25">
      <c r="B5525"/>
    </row>
    <row r="5526" spans="2:2" x14ac:dyDescent="0.25">
      <c r="B5526"/>
    </row>
    <row r="5527" spans="2:2" x14ac:dyDescent="0.25">
      <c r="B5527"/>
    </row>
    <row r="5528" spans="2:2" x14ac:dyDescent="0.25">
      <c r="B5528"/>
    </row>
    <row r="5529" spans="2:2" x14ac:dyDescent="0.25">
      <c r="B5529"/>
    </row>
    <row r="5530" spans="2:2" x14ac:dyDescent="0.25">
      <c r="B5530"/>
    </row>
    <row r="5531" spans="2:2" x14ac:dyDescent="0.25">
      <c r="B5531"/>
    </row>
    <row r="5532" spans="2:2" x14ac:dyDescent="0.25">
      <c r="B5532"/>
    </row>
    <row r="5533" spans="2:2" x14ac:dyDescent="0.25">
      <c r="B5533"/>
    </row>
    <row r="5534" spans="2:2" x14ac:dyDescent="0.25">
      <c r="B5534"/>
    </row>
    <row r="5535" spans="2:2" x14ac:dyDescent="0.25">
      <c r="B5535"/>
    </row>
    <row r="5536" spans="2:2" x14ac:dyDescent="0.25">
      <c r="B5536"/>
    </row>
    <row r="5537" spans="2:2" x14ac:dyDescent="0.25">
      <c r="B5537"/>
    </row>
    <row r="5538" spans="2:2" x14ac:dyDescent="0.25">
      <c r="B5538"/>
    </row>
    <row r="5539" spans="2:2" x14ac:dyDescent="0.25">
      <c r="B5539"/>
    </row>
    <row r="5540" spans="2:2" x14ac:dyDescent="0.25">
      <c r="B5540"/>
    </row>
    <row r="5541" spans="2:2" x14ac:dyDescent="0.25">
      <c r="B5541"/>
    </row>
    <row r="5542" spans="2:2" x14ac:dyDescent="0.25">
      <c r="B5542"/>
    </row>
    <row r="5543" spans="2:2" x14ac:dyDescent="0.25">
      <c r="B5543"/>
    </row>
    <row r="5544" spans="2:2" x14ac:dyDescent="0.25">
      <c r="B5544"/>
    </row>
    <row r="5545" spans="2:2" x14ac:dyDescent="0.25">
      <c r="B5545"/>
    </row>
    <row r="5546" spans="2:2" x14ac:dyDescent="0.25">
      <c r="B5546"/>
    </row>
    <row r="5547" spans="2:2" x14ac:dyDescent="0.25">
      <c r="B5547"/>
    </row>
    <row r="5548" spans="2:2" x14ac:dyDescent="0.25">
      <c r="B5548"/>
    </row>
    <row r="5549" spans="2:2" x14ac:dyDescent="0.25">
      <c r="B5549"/>
    </row>
    <row r="5550" spans="2:2" x14ac:dyDescent="0.25">
      <c r="B5550"/>
    </row>
    <row r="5551" spans="2:2" x14ac:dyDescent="0.25">
      <c r="B5551"/>
    </row>
    <row r="5552" spans="2:2" x14ac:dyDescent="0.25">
      <c r="B5552"/>
    </row>
    <row r="5553" spans="2:2" x14ac:dyDescent="0.25">
      <c r="B5553"/>
    </row>
    <row r="5554" spans="2:2" x14ac:dyDescent="0.25">
      <c r="B5554"/>
    </row>
    <row r="5555" spans="2:2" x14ac:dyDescent="0.25">
      <c r="B5555"/>
    </row>
    <row r="5556" spans="2:2" x14ac:dyDescent="0.25">
      <c r="B5556"/>
    </row>
    <row r="5557" spans="2:2" x14ac:dyDescent="0.25">
      <c r="B5557"/>
    </row>
    <row r="5558" spans="2:2" x14ac:dyDescent="0.25">
      <c r="B5558"/>
    </row>
    <row r="5559" spans="2:2" x14ac:dyDescent="0.25">
      <c r="B5559"/>
    </row>
    <row r="5560" spans="2:2" x14ac:dyDescent="0.25">
      <c r="B5560"/>
    </row>
    <row r="5561" spans="2:2" x14ac:dyDescent="0.25">
      <c r="B5561"/>
    </row>
    <row r="5562" spans="2:2" x14ac:dyDescent="0.25">
      <c r="B5562"/>
    </row>
    <row r="5563" spans="2:2" x14ac:dyDescent="0.25">
      <c r="B5563"/>
    </row>
    <row r="5564" spans="2:2" x14ac:dyDescent="0.25">
      <c r="B5564"/>
    </row>
    <row r="5565" spans="2:2" x14ac:dyDescent="0.25">
      <c r="B5565"/>
    </row>
    <row r="5566" spans="2:2" x14ac:dyDescent="0.25">
      <c r="B5566"/>
    </row>
    <row r="5567" spans="2:2" x14ac:dyDescent="0.25">
      <c r="B5567"/>
    </row>
    <row r="5568" spans="2:2" x14ac:dyDescent="0.25">
      <c r="B5568"/>
    </row>
    <row r="5569" spans="2:2" x14ac:dyDescent="0.25">
      <c r="B5569"/>
    </row>
    <row r="5570" spans="2:2" x14ac:dyDescent="0.25">
      <c r="B5570"/>
    </row>
    <row r="5571" spans="2:2" x14ac:dyDescent="0.25">
      <c r="B5571"/>
    </row>
    <row r="5572" spans="2:2" x14ac:dyDescent="0.25">
      <c r="B5572"/>
    </row>
    <row r="5573" spans="2:2" x14ac:dyDescent="0.25">
      <c r="B5573"/>
    </row>
    <row r="5574" spans="2:2" x14ac:dyDescent="0.25">
      <c r="B5574"/>
    </row>
    <row r="5575" spans="2:2" x14ac:dyDescent="0.25">
      <c r="B5575"/>
    </row>
    <row r="5576" spans="2:2" x14ac:dyDescent="0.25">
      <c r="B5576"/>
    </row>
    <row r="5577" spans="2:2" x14ac:dyDescent="0.25">
      <c r="B5577"/>
    </row>
    <row r="5578" spans="2:2" x14ac:dyDescent="0.25">
      <c r="B5578"/>
    </row>
    <row r="5579" spans="2:2" x14ac:dyDescent="0.25">
      <c r="B5579"/>
    </row>
    <row r="5580" spans="2:2" x14ac:dyDescent="0.25">
      <c r="B5580"/>
    </row>
    <row r="5581" spans="2:2" x14ac:dyDescent="0.25">
      <c r="B5581"/>
    </row>
    <row r="5582" spans="2:2" x14ac:dyDescent="0.25">
      <c r="B5582"/>
    </row>
    <row r="5583" spans="2:2" x14ac:dyDescent="0.25">
      <c r="B5583"/>
    </row>
    <row r="5584" spans="2:2" x14ac:dyDescent="0.25">
      <c r="B5584"/>
    </row>
    <row r="5585" spans="2:2" x14ac:dyDescent="0.25">
      <c r="B5585"/>
    </row>
    <row r="5586" spans="2:2" x14ac:dyDescent="0.25">
      <c r="B5586"/>
    </row>
    <row r="5587" spans="2:2" x14ac:dyDescent="0.25">
      <c r="B5587"/>
    </row>
    <row r="5588" spans="2:2" x14ac:dyDescent="0.25">
      <c r="B5588"/>
    </row>
    <row r="5589" spans="2:2" x14ac:dyDescent="0.25">
      <c r="B5589"/>
    </row>
    <row r="5590" spans="2:2" x14ac:dyDescent="0.25">
      <c r="B5590"/>
    </row>
    <row r="5591" spans="2:2" x14ac:dyDescent="0.25">
      <c r="B5591"/>
    </row>
    <row r="5592" spans="2:2" x14ac:dyDescent="0.25">
      <c r="B5592"/>
    </row>
    <row r="5593" spans="2:2" x14ac:dyDescent="0.25">
      <c r="B5593"/>
    </row>
    <row r="5594" spans="2:2" x14ac:dyDescent="0.25">
      <c r="B5594"/>
    </row>
    <row r="5595" spans="2:2" x14ac:dyDescent="0.25">
      <c r="B5595"/>
    </row>
    <row r="5596" spans="2:2" x14ac:dyDescent="0.25">
      <c r="B5596"/>
    </row>
    <row r="5597" spans="2:2" x14ac:dyDescent="0.25">
      <c r="B5597"/>
    </row>
    <row r="5598" spans="2:2" x14ac:dyDescent="0.25">
      <c r="B5598"/>
    </row>
    <row r="5599" spans="2:2" x14ac:dyDescent="0.25">
      <c r="B5599"/>
    </row>
    <row r="5600" spans="2:2" x14ac:dyDescent="0.25">
      <c r="B5600"/>
    </row>
    <row r="5601" spans="2:2" x14ac:dyDescent="0.25">
      <c r="B5601"/>
    </row>
    <row r="5602" spans="2:2" x14ac:dyDescent="0.25">
      <c r="B5602"/>
    </row>
    <row r="5603" spans="2:2" x14ac:dyDescent="0.25">
      <c r="B5603"/>
    </row>
    <row r="5604" spans="2:2" x14ac:dyDescent="0.25">
      <c r="B5604"/>
    </row>
    <row r="5605" spans="2:2" x14ac:dyDescent="0.25">
      <c r="B5605"/>
    </row>
    <row r="5606" spans="2:2" x14ac:dyDescent="0.25">
      <c r="B5606"/>
    </row>
    <row r="5607" spans="2:2" x14ac:dyDescent="0.25">
      <c r="B5607"/>
    </row>
    <row r="5608" spans="2:2" x14ac:dyDescent="0.25">
      <c r="B5608"/>
    </row>
    <row r="5609" spans="2:2" x14ac:dyDescent="0.25">
      <c r="B5609"/>
    </row>
    <row r="5610" spans="2:2" x14ac:dyDescent="0.25">
      <c r="B5610"/>
    </row>
    <row r="5611" spans="2:2" x14ac:dyDescent="0.25">
      <c r="B5611"/>
    </row>
    <row r="5612" spans="2:2" x14ac:dyDescent="0.25">
      <c r="B5612"/>
    </row>
    <row r="5613" spans="2:2" x14ac:dyDescent="0.25">
      <c r="B5613"/>
    </row>
    <row r="5614" spans="2:2" x14ac:dyDescent="0.25">
      <c r="B5614"/>
    </row>
    <row r="5615" spans="2:2" x14ac:dyDescent="0.25">
      <c r="B5615"/>
    </row>
    <row r="5616" spans="2:2" x14ac:dyDescent="0.25">
      <c r="B5616"/>
    </row>
    <row r="5617" spans="2:2" x14ac:dyDescent="0.25">
      <c r="B5617"/>
    </row>
    <row r="5618" spans="2:2" x14ac:dyDescent="0.25">
      <c r="B5618"/>
    </row>
    <row r="5619" spans="2:2" x14ac:dyDescent="0.25">
      <c r="B5619"/>
    </row>
    <row r="5620" spans="2:2" x14ac:dyDescent="0.25">
      <c r="B5620"/>
    </row>
    <row r="5621" spans="2:2" x14ac:dyDescent="0.25">
      <c r="B5621"/>
    </row>
    <row r="5622" spans="2:2" x14ac:dyDescent="0.25">
      <c r="B5622"/>
    </row>
    <row r="5623" spans="2:2" x14ac:dyDescent="0.25">
      <c r="B5623"/>
    </row>
    <row r="5624" spans="2:2" x14ac:dyDescent="0.25">
      <c r="B5624"/>
    </row>
    <row r="5625" spans="2:2" x14ac:dyDescent="0.25">
      <c r="B5625"/>
    </row>
    <row r="5626" spans="2:2" x14ac:dyDescent="0.25">
      <c r="B5626"/>
    </row>
    <row r="5627" spans="2:2" x14ac:dyDescent="0.25">
      <c r="B5627"/>
    </row>
    <row r="5628" spans="2:2" x14ac:dyDescent="0.25">
      <c r="B5628"/>
    </row>
    <row r="5629" spans="2:2" x14ac:dyDescent="0.25">
      <c r="B5629"/>
    </row>
    <row r="5630" spans="2:2" x14ac:dyDescent="0.25">
      <c r="B5630"/>
    </row>
    <row r="5631" spans="2:2" x14ac:dyDescent="0.25">
      <c r="B5631"/>
    </row>
    <row r="5632" spans="2:2" x14ac:dyDescent="0.25">
      <c r="B5632"/>
    </row>
    <row r="5633" spans="2:2" x14ac:dyDescent="0.25">
      <c r="B5633"/>
    </row>
    <row r="5634" spans="2:2" x14ac:dyDescent="0.25">
      <c r="B5634"/>
    </row>
    <row r="5635" spans="2:2" x14ac:dyDescent="0.25">
      <c r="B5635"/>
    </row>
    <row r="5636" spans="2:2" x14ac:dyDescent="0.25">
      <c r="B5636"/>
    </row>
    <row r="5637" spans="2:2" x14ac:dyDescent="0.25">
      <c r="B5637"/>
    </row>
    <row r="5638" spans="2:2" x14ac:dyDescent="0.25">
      <c r="B5638"/>
    </row>
    <row r="5639" spans="2:2" x14ac:dyDescent="0.25">
      <c r="B5639"/>
    </row>
    <row r="5640" spans="2:2" x14ac:dyDescent="0.25">
      <c r="B5640"/>
    </row>
    <row r="5641" spans="2:2" x14ac:dyDescent="0.25">
      <c r="B5641"/>
    </row>
    <row r="5642" spans="2:2" x14ac:dyDescent="0.25">
      <c r="B5642"/>
    </row>
    <row r="5643" spans="2:2" x14ac:dyDescent="0.25">
      <c r="B5643"/>
    </row>
    <row r="5644" spans="2:2" x14ac:dyDescent="0.25">
      <c r="B5644"/>
    </row>
    <row r="5645" spans="2:2" x14ac:dyDescent="0.25">
      <c r="B5645"/>
    </row>
    <row r="5646" spans="2:2" x14ac:dyDescent="0.25">
      <c r="B5646"/>
    </row>
    <row r="5647" spans="2:2" x14ac:dyDescent="0.25">
      <c r="B5647"/>
    </row>
    <row r="5648" spans="2:2" x14ac:dyDescent="0.25">
      <c r="B5648"/>
    </row>
    <row r="5649" spans="2:2" x14ac:dyDescent="0.25">
      <c r="B5649"/>
    </row>
    <row r="5650" spans="2:2" x14ac:dyDescent="0.25">
      <c r="B5650"/>
    </row>
    <row r="5651" spans="2:2" x14ac:dyDescent="0.25">
      <c r="B5651"/>
    </row>
    <row r="5652" spans="2:2" x14ac:dyDescent="0.25">
      <c r="B5652"/>
    </row>
    <row r="5653" spans="2:2" x14ac:dyDescent="0.25">
      <c r="B5653"/>
    </row>
    <row r="5654" spans="2:2" x14ac:dyDescent="0.25">
      <c r="B5654"/>
    </row>
    <row r="5655" spans="2:2" x14ac:dyDescent="0.25">
      <c r="B5655"/>
    </row>
    <row r="5656" spans="2:2" x14ac:dyDescent="0.25">
      <c r="B5656"/>
    </row>
    <row r="5657" spans="2:2" x14ac:dyDescent="0.25">
      <c r="B5657"/>
    </row>
    <row r="5658" spans="2:2" x14ac:dyDescent="0.25">
      <c r="B5658"/>
    </row>
    <row r="5659" spans="2:2" x14ac:dyDescent="0.25">
      <c r="B5659"/>
    </row>
    <row r="5660" spans="2:2" x14ac:dyDescent="0.25">
      <c r="B5660"/>
    </row>
    <row r="5661" spans="2:2" x14ac:dyDescent="0.25">
      <c r="B5661"/>
    </row>
    <row r="5662" spans="2:2" x14ac:dyDescent="0.25">
      <c r="B5662"/>
    </row>
    <row r="5663" spans="2:2" x14ac:dyDescent="0.25">
      <c r="B5663"/>
    </row>
    <row r="5664" spans="2:2" x14ac:dyDescent="0.25">
      <c r="B5664"/>
    </row>
    <row r="5665" spans="2:2" x14ac:dyDescent="0.25">
      <c r="B5665"/>
    </row>
    <row r="5666" spans="2:2" x14ac:dyDescent="0.25">
      <c r="B5666"/>
    </row>
    <row r="5667" spans="2:2" x14ac:dyDescent="0.25">
      <c r="B5667"/>
    </row>
    <row r="5668" spans="2:2" x14ac:dyDescent="0.25">
      <c r="B5668"/>
    </row>
    <row r="5669" spans="2:2" x14ac:dyDescent="0.25">
      <c r="B5669"/>
    </row>
    <row r="5670" spans="2:2" x14ac:dyDescent="0.25">
      <c r="B5670"/>
    </row>
    <row r="5671" spans="2:2" x14ac:dyDescent="0.25">
      <c r="B5671"/>
    </row>
    <row r="5672" spans="2:2" x14ac:dyDescent="0.25">
      <c r="B5672"/>
    </row>
    <row r="5673" spans="2:2" x14ac:dyDescent="0.25">
      <c r="B5673"/>
    </row>
    <row r="5674" spans="2:2" x14ac:dyDescent="0.25">
      <c r="B5674"/>
    </row>
    <row r="5675" spans="2:2" x14ac:dyDescent="0.25">
      <c r="B5675"/>
    </row>
    <row r="5676" spans="2:2" x14ac:dyDescent="0.25">
      <c r="B5676"/>
    </row>
    <row r="5677" spans="2:2" x14ac:dyDescent="0.25">
      <c r="B5677"/>
    </row>
    <row r="5678" spans="2:2" x14ac:dyDescent="0.25">
      <c r="B5678"/>
    </row>
    <row r="5679" spans="2:2" x14ac:dyDescent="0.25">
      <c r="B5679"/>
    </row>
    <row r="5680" spans="2:2" x14ac:dyDescent="0.25">
      <c r="B5680"/>
    </row>
    <row r="5681" spans="2:2" x14ac:dyDescent="0.25">
      <c r="B5681"/>
    </row>
    <row r="5682" spans="2:2" x14ac:dyDescent="0.25">
      <c r="B5682"/>
    </row>
    <row r="5683" spans="2:2" x14ac:dyDescent="0.25">
      <c r="B5683"/>
    </row>
    <row r="5684" spans="2:2" x14ac:dyDescent="0.25">
      <c r="B5684"/>
    </row>
    <row r="5685" spans="2:2" x14ac:dyDescent="0.25">
      <c r="B5685"/>
    </row>
    <row r="5686" spans="2:2" x14ac:dyDescent="0.25">
      <c r="B5686"/>
    </row>
    <row r="5687" spans="2:2" x14ac:dyDescent="0.25">
      <c r="B5687"/>
    </row>
    <row r="5688" spans="2:2" x14ac:dyDescent="0.25">
      <c r="B5688"/>
    </row>
    <row r="5689" spans="2:2" x14ac:dyDescent="0.25">
      <c r="B5689"/>
    </row>
    <row r="5690" spans="2:2" x14ac:dyDescent="0.25">
      <c r="B5690"/>
    </row>
    <row r="5691" spans="2:2" x14ac:dyDescent="0.25">
      <c r="B5691"/>
    </row>
    <row r="5692" spans="2:2" x14ac:dyDescent="0.25">
      <c r="B5692"/>
    </row>
    <row r="5693" spans="2:2" x14ac:dyDescent="0.25">
      <c r="B5693"/>
    </row>
    <row r="5694" spans="2:2" x14ac:dyDescent="0.25">
      <c r="B5694"/>
    </row>
    <row r="5695" spans="2:2" x14ac:dyDescent="0.25">
      <c r="B5695"/>
    </row>
    <row r="5696" spans="2:2" x14ac:dyDescent="0.25">
      <c r="B5696"/>
    </row>
    <row r="5697" spans="2:2" x14ac:dyDescent="0.25">
      <c r="B5697"/>
    </row>
    <row r="5698" spans="2:2" x14ac:dyDescent="0.25">
      <c r="B5698"/>
    </row>
    <row r="5699" spans="2:2" x14ac:dyDescent="0.25">
      <c r="B5699"/>
    </row>
    <row r="5700" spans="2:2" x14ac:dyDescent="0.25">
      <c r="B5700"/>
    </row>
    <row r="5701" spans="2:2" x14ac:dyDescent="0.25">
      <c r="B5701"/>
    </row>
    <row r="5702" spans="2:2" x14ac:dyDescent="0.25">
      <c r="B5702"/>
    </row>
    <row r="5703" spans="2:2" x14ac:dyDescent="0.25">
      <c r="B5703"/>
    </row>
    <row r="5704" spans="2:2" x14ac:dyDescent="0.25">
      <c r="B5704"/>
    </row>
    <row r="5705" spans="2:2" x14ac:dyDescent="0.25">
      <c r="B5705"/>
    </row>
    <row r="5706" spans="2:2" x14ac:dyDescent="0.25">
      <c r="B5706"/>
    </row>
    <row r="5707" spans="2:2" x14ac:dyDescent="0.25">
      <c r="B5707"/>
    </row>
    <row r="5708" spans="2:2" x14ac:dyDescent="0.25">
      <c r="B5708"/>
    </row>
    <row r="5709" spans="2:2" x14ac:dyDescent="0.25">
      <c r="B5709"/>
    </row>
    <row r="5710" spans="2:2" x14ac:dyDescent="0.25">
      <c r="B5710"/>
    </row>
    <row r="5711" spans="2:2" x14ac:dyDescent="0.25">
      <c r="B5711"/>
    </row>
    <row r="5712" spans="2:2" x14ac:dyDescent="0.25">
      <c r="B5712"/>
    </row>
    <row r="5713" spans="2:2" x14ac:dyDescent="0.25">
      <c r="B5713"/>
    </row>
    <row r="5714" spans="2:2" x14ac:dyDescent="0.25">
      <c r="B5714"/>
    </row>
    <row r="5715" spans="2:2" x14ac:dyDescent="0.25">
      <c r="B5715"/>
    </row>
    <row r="5716" spans="2:2" x14ac:dyDescent="0.25">
      <c r="B5716"/>
    </row>
    <row r="5717" spans="2:2" x14ac:dyDescent="0.25">
      <c r="B5717"/>
    </row>
    <row r="5718" spans="2:2" x14ac:dyDescent="0.25">
      <c r="B5718"/>
    </row>
    <row r="5719" spans="2:2" x14ac:dyDescent="0.25">
      <c r="B5719"/>
    </row>
    <row r="5720" spans="2:2" x14ac:dyDescent="0.25">
      <c r="B5720"/>
    </row>
    <row r="5721" spans="2:2" x14ac:dyDescent="0.25">
      <c r="B5721"/>
    </row>
    <row r="5722" spans="2:2" x14ac:dyDescent="0.25">
      <c r="B5722"/>
    </row>
    <row r="5723" spans="2:2" x14ac:dyDescent="0.25">
      <c r="B5723"/>
    </row>
    <row r="5724" spans="2:2" x14ac:dyDescent="0.25">
      <c r="B5724"/>
    </row>
    <row r="5725" spans="2:2" x14ac:dyDescent="0.25">
      <c r="B5725"/>
    </row>
    <row r="5726" spans="2:2" x14ac:dyDescent="0.25">
      <c r="B5726"/>
    </row>
    <row r="5727" spans="2:2" x14ac:dyDescent="0.25">
      <c r="B5727"/>
    </row>
    <row r="5728" spans="2:2" x14ac:dyDescent="0.25">
      <c r="B5728"/>
    </row>
    <row r="5729" spans="2:2" x14ac:dyDescent="0.25">
      <c r="B5729"/>
    </row>
    <row r="5730" spans="2:2" x14ac:dyDescent="0.25">
      <c r="B5730"/>
    </row>
    <row r="5731" spans="2:2" x14ac:dyDescent="0.25">
      <c r="B5731"/>
    </row>
    <row r="5732" spans="2:2" x14ac:dyDescent="0.25">
      <c r="B5732"/>
    </row>
    <row r="5733" spans="2:2" x14ac:dyDescent="0.25">
      <c r="B5733"/>
    </row>
    <row r="5734" spans="2:2" x14ac:dyDescent="0.25">
      <c r="B5734"/>
    </row>
    <row r="5735" spans="2:2" x14ac:dyDescent="0.25">
      <c r="B5735"/>
    </row>
    <row r="5736" spans="2:2" x14ac:dyDescent="0.25">
      <c r="B5736"/>
    </row>
    <row r="5737" spans="2:2" x14ac:dyDescent="0.25">
      <c r="B5737"/>
    </row>
    <row r="5738" spans="2:2" x14ac:dyDescent="0.25">
      <c r="B5738"/>
    </row>
    <row r="5739" spans="2:2" x14ac:dyDescent="0.25">
      <c r="B5739"/>
    </row>
    <row r="5740" spans="2:2" x14ac:dyDescent="0.25">
      <c r="B5740"/>
    </row>
    <row r="5741" spans="2:2" x14ac:dyDescent="0.25">
      <c r="B5741"/>
    </row>
    <row r="5742" spans="2:2" x14ac:dyDescent="0.25">
      <c r="B5742"/>
    </row>
    <row r="5743" spans="2:2" x14ac:dyDescent="0.25">
      <c r="B5743"/>
    </row>
    <row r="5744" spans="2:2" x14ac:dyDescent="0.25">
      <c r="B5744"/>
    </row>
    <row r="5745" spans="2:2" x14ac:dyDescent="0.25">
      <c r="B5745"/>
    </row>
    <row r="5746" spans="2:2" x14ac:dyDescent="0.25">
      <c r="B5746"/>
    </row>
    <row r="5747" spans="2:2" x14ac:dyDescent="0.25">
      <c r="B5747"/>
    </row>
    <row r="5748" spans="2:2" x14ac:dyDescent="0.25">
      <c r="B5748"/>
    </row>
    <row r="5749" spans="2:2" x14ac:dyDescent="0.25">
      <c r="B5749"/>
    </row>
    <row r="5750" spans="2:2" x14ac:dyDescent="0.25">
      <c r="B5750"/>
    </row>
    <row r="5751" spans="2:2" x14ac:dyDescent="0.25">
      <c r="B5751"/>
    </row>
    <row r="5752" spans="2:2" x14ac:dyDescent="0.25">
      <c r="B5752"/>
    </row>
    <row r="5753" spans="2:2" x14ac:dyDescent="0.25">
      <c r="B5753"/>
    </row>
    <row r="5754" spans="2:2" x14ac:dyDescent="0.25">
      <c r="B5754"/>
    </row>
    <row r="5755" spans="2:2" x14ac:dyDescent="0.25">
      <c r="B5755"/>
    </row>
    <row r="5756" spans="2:2" x14ac:dyDescent="0.25">
      <c r="B5756"/>
    </row>
    <row r="5757" spans="2:2" x14ac:dyDescent="0.25">
      <c r="B5757"/>
    </row>
    <row r="5758" spans="2:2" x14ac:dyDescent="0.25">
      <c r="B5758"/>
    </row>
    <row r="5759" spans="2:2" x14ac:dyDescent="0.25">
      <c r="B5759"/>
    </row>
    <row r="5760" spans="2:2" x14ac:dyDescent="0.25">
      <c r="B5760"/>
    </row>
    <row r="5761" spans="2:2" x14ac:dyDescent="0.25">
      <c r="B5761"/>
    </row>
    <row r="5762" spans="2:2" x14ac:dyDescent="0.25">
      <c r="B5762"/>
    </row>
    <row r="5763" spans="2:2" x14ac:dyDescent="0.25">
      <c r="B5763"/>
    </row>
    <row r="5764" spans="2:2" x14ac:dyDescent="0.25">
      <c r="B5764"/>
    </row>
    <row r="5765" spans="2:2" x14ac:dyDescent="0.25">
      <c r="B5765"/>
    </row>
    <row r="5766" spans="2:2" x14ac:dyDescent="0.25">
      <c r="B5766"/>
    </row>
    <row r="5767" spans="2:2" x14ac:dyDescent="0.25">
      <c r="B5767"/>
    </row>
    <row r="5768" spans="2:2" x14ac:dyDescent="0.25">
      <c r="B5768"/>
    </row>
    <row r="5769" spans="2:2" x14ac:dyDescent="0.25">
      <c r="B5769"/>
    </row>
    <row r="5770" spans="2:2" x14ac:dyDescent="0.25">
      <c r="B5770"/>
    </row>
    <row r="5771" spans="2:2" x14ac:dyDescent="0.25">
      <c r="B5771"/>
    </row>
    <row r="5772" spans="2:2" x14ac:dyDescent="0.25">
      <c r="B5772"/>
    </row>
    <row r="5773" spans="2:2" x14ac:dyDescent="0.25">
      <c r="B5773"/>
    </row>
    <row r="5774" spans="2:2" x14ac:dyDescent="0.25">
      <c r="B5774"/>
    </row>
    <row r="5775" spans="2:2" x14ac:dyDescent="0.25">
      <c r="B5775"/>
    </row>
    <row r="5776" spans="2:2" x14ac:dyDescent="0.25">
      <c r="B5776"/>
    </row>
    <row r="5777" spans="2:2" x14ac:dyDescent="0.25">
      <c r="B5777"/>
    </row>
    <row r="5778" spans="2:2" x14ac:dyDescent="0.25">
      <c r="B5778"/>
    </row>
    <row r="5779" spans="2:2" x14ac:dyDescent="0.25">
      <c r="B5779"/>
    </row>
    <row r="5780" spans="2:2" x14ac:dyDescent="0.25">
      <c r="B5780"/>
    </row>
    <row r="5781" spans="2:2" x14ac:dyDescent="0.25">
      <c r="B5781"/>
    </row>
    <row r="5782" spans="2:2" x14ac:dyDescent="0.25">
      <c r="B5782"/>
    </row>
    <row r="5783" spans="2:2" x14ac:dyDescent="0.25">
      <c r="B5783"/>
    </row>
    <row r="5784" spans="2:2" x14ac:dyDescent="0.25">
      <c r="B5784"/>
    </row>
    <row r="5785" spans="2:2" x14ac:dyDescent="0.25">
      <c r="B5785"/>
    </row>
    <row r="5786" spans="2:2" x14ac:dyDescent="0.25">
      <c r="B5786"/>
    </row>
    <row r="5787" spans="2:2" x14ac:dyDescent="0.25">
      <c r="B5787"/>
    </row>
    <row r="5788" spans="2:2" x14ac:dyDescent="0.25">
      <c r="B5788"/>
    </row>
    <row r="5789" spans="2:2" x14ac:dyDescent="0.25">
      <c r="B5789"/>
    </row>
    <row r="5790" spans="2:2" x14ac:dyDescent="0.25">
      <c r="B5790"/>
    </row>
    <row r="5791" spans="2:2" x14ac:dyDescent="0.25">
      <c r="B5791"/>
    </row>
    <row r="5792" spans="2:2" x14ac:dyDescent="0.25">
      <c r="B5792"/>
    </row>
    <row r="5793" spans="2:2" x14ac:dyDescent="0.25">
      <c r="B5793"/>
    </row>
    <row r="5794" spans="2:2" x14ac:dyDescent="0.25">
      <c r="B5794"/>
    </row>
    <row r="5795" spans="2:2" x14ac:dyDescent="0.25">
      <c r="B5795"/>
    </row>
    <row r="5796" spans="2:2" x14ac:dyDescent="0.25">
      <c r="B5796"/>
    </row>
    <row r="5797" spans="2:2" x14ac:dyDescent="0.25">
      <c r="B5797"/>
    </row>
    <row r="5798" spans="2:2" x14ac:dyDescent="0.25">
      <c r="B5798"/>
    </row>
    <row r="5799" spans="2:2" x14ac:dyDescent="0.25">
      <c r="B5799"/>
    </row>
    <row r="5800" spans="2:2" x14ac:dyDescent="0.25">
      <c r="B5800"/>
    </row>
    <row r="5801" spans="2:2" x14ac:dyDescent="0.25">
      <c r="B5801"/>
    </row>
    <row r="5802" spans="2:2" x14ac:dyDescent="0.25">
      <c r="B5802"/>
    </row>
    <row r="5803" spans="2:2" x14ac:dyDescent="0.25">
      <c r="B5803"/>
    </row>
    <row r="5804" spans="2:2" x14ac:dyDescent="0.25">
      <c r="B5804"/>
    </row>
    <row r="5805" spans="2:2" x14ac:dyDescent="0.25">
      <c r="B5805"/>
    </row>
    <row r="5806" spans="2:2" x14ac:dyDescent="0.25">
      <c r="B5806"/>
    </row>
    <row r="5807" spans="2:2" x14ac:dyDescent="0.25">
      <c r="B5807"/>
    </row>
    <row r="5808" spans="2:2" x14ac:dyDescent="0.25">
      <c r="B5808"/>
    </row>
    <row r="5809" spans="2:2" x14ac:dyDescent="0.25">
      <c r="B5809"/>
    </row>
    <row r="5810" spans="2:2" x14ac:dyDescent="0.25">
      <c r="B5810"/>
    </row>
    <row r="5811" spans="2:2" x14ac:dyDescent="0.25">
      <c r="B5811"/>
    </row>
    <row r="5812" spans="2:2" x14ac:dyDescent="0.25">
      <c r="B5812"/>
    </row>
    <row r="5813" spans="2:2" x14ac:dyDescent="0.25">
      <c r="B5813"/>
    </row>
    <row r="5814" spans="2:2" x14ac:dyDescent="0.25">
      <c r="B5814"/>
    </row>
    <row r="5815" spans="2:2" x14ac:dyDescent="0.25">
      <c r="B5815"/>
    </row>
    <row r="5816" spans="2:2" x14ac:dyDescent="0.25">
      <c r="B5816"/>
    </row>
    <row r="5817" spans="2:2" x14ac:dyDescent="0.25">
      <c r="B5817"/>
    </row>
    <row r="5818" spans="2:2" x14ac:dyDescent="0.25">
      <c r="B5818"/>
    </row>
    <row r="5819" spans="2:2" x14ac:dyDescent="0.25">
      <c r="B5819"/>
    </row>
    <row r="5820" spans="2:2" x14ac:dyDescent="0.25">
      <c r="B5820"/>
    </row>
    <row r="5821" spans="2:2" x14ac:dyDescent="0.25">
      <c r="B5821"/>
    </row>
    <row r="5822" spans="2:2" x14ac:dyDescent="0.25">
      <c r="B5822"/>
    </row>
    <row r="5823" spans="2:2" x14ac:dyDescent="0.25">
      <c r="B5823"/>
    </row>
    <row r="5824" spans="2:2" x14ac:dyDescent="0.25">
      <c r="B5824"/>
    </row>
    <row r="5825" spans="2:2" x14ac:dyDescent="0.25">
      <c r="B5825"/>
    </row>
    <row r="5826" spans="2:2" x14ac:dyDescent="0.25">
      <c r="B5826"/>
    </row>
    <row r="5827" spans="2:2" x14ac:dyDescent="0.25">
      <c r="B5827"/>
    </row>
    <row r="5828" spans="2:2" x14ac:dyDescent="0.25">
      <c r="B5828"/>
    </row>
    <row r="5829" spans="2:2" x14ac:dyDescent="0.25">
      <c r="B5829"/>
    </row>
    <row r="5830" spans="2:2" x14ac:dyDescent="0.25">
      <c r="B5830"/>
    </row>
    <row r="5831" spans="2:2" x14ac:dyDescent="0.25">
      <c r="B5831"/>
    </row>
    <row r="5832" spans="2:2" x14ac:dyDescent="0.25">
      <c r="B5832"/>
    </row>
    <row r="5833" spans="2:2" x14ac:dyDescent="0.25">
      <c r="B5833"/>
    </row>
    <row r="5834" spans="2:2" x14ac:dyDescent="0.25">
      <c r="B5834"/>
    </row>
    <row r="5835" spans="2:2" x14ac:dyDescent="0.25">
      <c r="B5835"/>
    </row>
    <row r="5836" spans="2:2" x14ac:dyDescent="0.25">
      <c r="B5836"/>
    </row>
    <row r="5837" spans="2:2" x14ac:dyDescent="0.25">
      <c r="B5837"/>
    </row>
    <row r="5838" spans="2:2" x14ac:dyDescent="0.25">
      <c r="B5838"/>
    </row>
    <row r="5839" spans="2:2" x14ac:dyDescent="0.25">
      <c r="B5839"/>
    </row>
    <row r="5840" spans="2:2" x14ac:dyDescent="0.25">
      <c r="B5840"/>
    </row>
    <row r="5841" spans="2:2" x14ac:dyDescent="0.25">
      <c r="B5841"/>
    </row>
    <row r="5842" spans="2:2" x14ac:dyDescent="0.25">
      <c r="B5842"/>
    </row>
    <row r="5843" spans="2:2" x14ac:dyDescent="0.25">
      <c r="B5843"/>
    </row>
    <row r="5844" spans="2:2" x14ac:dyDescent="0.25">
      <c r="B5844"/>
    </row>
    <row r="5845" spans="2:2" x14ac:dyDescent="0.25">
      <c r="B5845"/>
    </row>
    <row r="5846" spans="2:2" x14ac:dyDescent="0.25">
      <c r="B5846"/>
    </row>
    <row r="5847" spans="2:2" x14ac:dyDescent="0.25">
      <c r="B5847"/>
    </row>
    <row r="5848" spans="2:2" x14ac:dyDescent="0.25">
      <c r="B5848"/>
    </row>
    <row r="5849" spans="2:2" x14ac:dyDescent="0.25">
      <c r="B5849"/>
    </row>
    <row r="5850" spans="2:2" x14ac:dyDescent="0.25">
      <c r="B5850"/>
    </row>
    <row r="5851" spans="2:2" x14ac:dyDescent="0.25">
      <c r="B5851"/>
    </row>
    <row r="5852" spans="2:2" x14ac:dyDescent="0.25">
      <c r="B5852"/>
    </row>
    <row r="5853" spans="2:2" x14ac:dyDescent="0.25">
      <c r="B5853"/>
    </row>
    <row r="5854" spans="2:2" x14ac:dyDescent="0.25">
      <c r="B5854"/>
    </row>
    <row r="5855" spans="2:2" x14ac:dyDescent="0.25">
      <c r="B5855"/>
    </row>
    <row r="5856" spans="2:2" x14ac:dyDescent="0.25">
      <c r="B5856"/>
    </row>
    <row r="5857" spans="2:2" x14ac:dyDescent="0.25">
      <c r="B5857"/>
    </row>
    <row r="5858" spans="2:2" x14ac:dyDescent="0.25">
      <c r="B5858"/>
    </row>
    <row r="5859" spans="2:2" x14ac:dyDescent="0.25">
      <c r="B5859"/>
    </row>
    <row r="5860" spans="2:2" x14ac:dyDescent="0.25">
      <c r="B5860"/>
    </row>
    <row r="5861" spans="2:2" x14ac:dyDescent="0.25">
      <c r="B5861"/>
    </row>
    <row r="5862" spans="2:2" x14ac:dyDescent="0.25">
      <c r="B5862"/>
    </row>
    <row r="5863" spans="2:2" x14ac:dyDescent="0.25">
      <c r="B5863"/>
    </row>
    <row r="5864" spans="2:2" x14ac:dyDescent="0.25">
      <c r="B5864"/>
    </row>
    <row r="5865" spans="2:2" x14ac:dyDescent="0.25">
      <c r="B5865"/>
    </row>
    <row r="5866" spans="2:2" x14ac:dyDescent="0.25">
      <c r="B5866"/>
    </row>
    <row r="5867" spans="2:2" x14ac:dyDescent="0.25">
      <c r="B5867"/>
    </row>
    <row r="5868" spans="2:2" x14ac:dyDescent="0.25">
      <c r="B5868"/>
    </row>
    <row r="5869" spans="2:2" x14ac:dyDescent="0.25">
      <c r="B5869"/>
    </row>
    <row r="5870" spans="2:2" x14ac:dyDescent="0.25">
      <c r="B5870"/>
    </row>
    <row r="5871" spans="2:2" x14ac:dyDescent="0.25">
      <c r="B5871"/>
    </row>
    <row r="5872" spans="2:2" x14ac:dyDescent="0.25">
      <c r="B5872"/>
    </row>
    <row r="5873" spans="2:2" x14ac:dyDescent="0.25">
      <c r="B5873"/>
    </row>
    <row r="5874" spans="2:2" x14ac:dyDescent="0.25">
      <c r="B5874"/>
    </row>
    <row r="5875" spans="2:2" x14ac:dyDescent="0.25">
      <c r="B5875"/>
    </row>
    <row r="5876" spans="2:2" x14ac:dyDescent="0.25">
      <c r="B5876"/>
    </row>
    <row r="5877" spans="2:2" x14ac:dyDescent="0.25">
      <c r="B5877"/>
    </row>
    <row r="5878" spans="2:2" x14ac:dyDescent="0.25">
      <c r="B5878"/>
    </row>
    <row r="5879" spans="2:2" x14ac:dyDescent="0.25">
      <c r="B5879"/>
    </row>
    <row r="5880" spans="2:2" x14ac:dyDescent="0.25">
      <c r="B5880"/>
    </row>
    <row r="5881" spans="2:2" x14ac:dyDescent="0.25">
      <c r="B5881"/>
    </row>
    <row r="5882" spans="2:2" x14ac:dyDescent="0.25">
      <c r="B5882"/>
    </row>
    <row r="5883" spans="2:2" x14ac:dyDescent="0.25">
      <c r="B5883"/>
    </row>
    <row r="5884" spans="2:2" x14ac:dyDescent="0.25">
      <c r="B5884"/>
    </row>
    <row r="5885" spans="2:2" x14ac:dyDescent="0.25">
      <c r="B5885"/>
    </row>
    <row r="5886" spans="2:2" x14ac:dyDescent="0.25">
      <c r="B5886"/>
    </row>
    <row r="5887" spans="2:2" x14ac:dyDescent="0.25">
      <c r="B5887"/>
    </row>
    <row r="5888" spans="2:2" x14ac:dyDescent="0.25">
      <c r="B5888"/>
    </row>
    <row r="5889" spans="2:2" x14ac:dyDescent="0.25">
      <c r="B5889"/>
    </row>
    <row r="5890" spans="2:2" x14ac:dyDescent="0.25">
      <c r="B5890"/>
    </row>
    <row r="5891" spans="2:2" x14ac:dyDescent="0.25">
      <c r="B5891"/>
    </row>
    <row r="5892" spans="2:2" x14ac:dyDescent="0.25">
      <c r="B5892"/>
    </row>
    <row r="5893" spans="2:2" x14ac:dyDescent="0.25">
      <c r="B5893"/>
    </row>
    <row r="5894" spans="2:2" x14ac:dyDescent="0.25">
      <c r="B5894"/>
    </row>
    <row r="5895" spans="2:2" x14ac:dyDescent="0.25">
      <c r="B5895"/>
    </row>
    <row r="5896" spans="2:2" x14ac:dyDescent="0.25">
      <c r="B5896"/>
    </row>
    <row r="5897" spans="2:2" x14ac:dyDescent="0.25">
      <c r="B5897"/>
    </row>
    <row r="5898" spans="2:2" x14ac:dyDescent="0.25">
      <c r="B5898"/>
    </row>
    <row r="5899" spans="2:2" x14ac:dyDescent="0.25">
      <c r="B5899"/>
    </row>
    <row r="5900" spans="2:2" x14ac:dyDescent="0.25">
      <c r="B5900"/>
    </row>
    <row r="5901" spans="2:2" x14ac:dyDescent="0.25">
      <c r="B5901"/>
    </row>
    <row r="5902" spans="2:2" x14ac:dyDescent="0.25">
      <c r="B5902"/>
    </row>
    <row r="5903" spans="2:2" x14ac:dyDescent="0.25">
      <c r="B5903"/>
    </row>
    <row r="5904" spans="2:2" x14ac:dyDescent="0.25">
      <c r="B5904"/>
    </row>
    <row r="5905" spans="2:2" x14ac:dyDescent="0.25">
      <c r="B5905"/>
    </row>
    <row r="5906" spans="2:2" x14ac:dyDescent="0.25">
      <c r="B5906"/>
    </row>
    <row r="5907" spans="2:2" x14ac:dyDescent="0.25">
      <c r="B5907"/>
    </row>
    <row r="5908" spans="2:2" x14ac:dyDescent="0.25">
      <c r="B5908"/>
    </row>
    <row r="5909" spans="2:2" x14ac:dyDescent="0.25">
      <c r="B5909"/>
    </row>
    <row r="5910" spans="2:2" x14ac:dyDescent="0.25">
      <c r="B5910"/>
    </row>
    <row r="5911" spans="2:2" x14ac:dyDescent="0.25">
      <c r="B5911"/>
    </row>
    <row r="5912" spans="2:2" x14ac:dyDescent="0.25">
      <c r="B5912"/>
    </row>
    <row r="5913" spans="2:2" x14ac:dyDescent="0.25">
      <c r="B5913"/>
    </row>
    <row r="5914" spans="2:2" x14ac:dyDescent="0.25">
      <c r="B5914"/>
    </row>
    <row r="5915" spans="2:2" x14ac:dyDescent="0.25">
      <c r="B5915"/>
    </row>
    <row r="5916" spans="2:2" x14ac:dyDescent="0.25">
      <c r="B5916"/>
    </row>
    <row r="5917" spans="2:2" x14ac:dyDescent="0.25">
      <c r="B5917"/>
    </row>
    <row r="5918" spans="2:2" x14ac:dyDescent="0.25">
      <c r="B5918"/>
    </row>
    <row r="5919" spans="2:2" x14ac:dyDescent="0.25">
      <c r="B5919"/>
    </row>
    <row r="5920" spans="2:2" x14ac:dyDescent="0.25">
      <c r="B5920"/>
    </row>
    <row r="5921" spans="2:2" x14ac:dyDescent="0.25">
      <c r="B5921"/>
    </row>
    <row r="5922" spans="2:2" x14ac:dyDescent="0.25">
      <c r="B5922"/>
    </row>
    <row r="5923" spans="2:2" x14ac:dyDescent="0.25">
      <c r="B5923"/>
    </row>
    <row r="5924" spans="2:2" x14ac:dyDescent="0.25">
      <c r="B5924"/>
    </row>
    <row r="5925" spans="2:2" x14ac:dyDescent="0.25">
      <c r="B5925"/>
    </row>
    <row r="5926" spans="2:2" x14ac:dyDescent="0.25">
      <c r="B5926"/>
    </row>
    <row r="5927" spans="2:2" x14ac:dyDescent="0.25">
      <c r="B5927"/>
    </row>
    <row r="5928" spans="2:2" x14ac:dyDescent="0.25">
      <c r="B5928"/>
    </row>
    <row r="5929" spans="2:2" x14ac:dyDescent="0.25">
      <c r="B5929"/>
    </row>
    <row r="5930" spans="2:2" x14ac:dyDescent="0.25">
      <c r="B5930"/>
    </row>
    <row r="5931" spans="2:2" x14ac:dyDescent="0.25">
      <c r="B5931"/>
    </row>
    <row r="5932" spans="2:2" x14ac:dyDescent="0.25">
      <c r="B5932"/>
    </row>
    <row r="5933" spans="2:2" x14ac:dyDescent="0.25">
      <c r="B5933"/>
    </row>
    <row r="5934" spans="2:2" x14ac:dyDescent="0.25">
      <c r="B5934"/>
    </row>
    <row r="5935" spans="2:2" x14ac:dyDescent="0.25">
      <c r="B5935"/>
    </row>
    <row r="5936" spans="2:2" x14ac:dyDescent="0.25">
      <c r="B5936"/>
    </row>
    <row r="5937" spans="2:2" x14ac:dyDescent="0.25">
      <c r="B5937"/>
    </row>
    <row r="5938" spans="2:2" x14ac:dyDescent="0.25">
      <c r="B5938"/>
    </row>
    <row r="5939" spans="2:2" x14ac:dyDescent="0.25">
      <c r="B5939"/>
    </row>
    <row r="5940" spans="2:2" x14ac:dyDescent="0.25">
      <c r="B5940"/>
    </row>
    <row r="5941" spans="2:2" x14ac:dyDescent="0.25">
      <c r="B5941"/>
    </row>
    <row r="5942" spans="2:2" x14ac:dyDescent="0.25">
      <c r="B5942"/>
    </row>
    <row r="5943" spans="2:2" x14ac:dyDescent="0.25">
      <c r="B5943"/>
    </row>
    <row r="5944" spans="2:2" x14ac:dyDescent="0.25">
      <c r="B5944"/>
    </row>
    <row r="5945" spans="2:2" x14ac:dyDescent="0.25">
      <c r="B5945"/>
    </row>
    <row r="5946" spans="2:2" x14ac:dyDescent="0.25">
      <c r="B5946"/>
    </row>
    <row r="5947" spans="2:2" x14ac:dyDescent="0.25">
      <c r="B5947"/>
    </row>
    <row r="5948" spans="2:2" x14ac:dyDescent="0.25">
      <c r="B5948"/>
    </row>
    <row r="5949" spans="2:2" x14ac:dyDescent="0.25">
      <c r="B5949"/>
    </row>
    <row r="5950" spans="2:2" x14ac:dyDescent="0.25">
      <c r="B5950"/>
    </row>
    <row r="5951" spans="2:2" x14ac:dyDescent="0.25">
      <c r="B5951"/>
    </row>
    <row r="5952" spans="2:2" x14ac:dyDescent="0.25">
      <c r="B5952"/>
    </row>
    <row r="5953" spans="2:2" x14ac:dyDescent="0.25">
      <c r="B5953"/>
    </row>
    <row r="5954" spans="2:2" x14ac:dyDescent="0.25">
      <c r="B5954"/>
    </row>
    <row r="5955" spans="2:2" x14ac:dyDescent="0.25">
      <c r="B5955"/>
    </row>
    <row r="5956" spans="2:2" x14ac:dyDescent="0.25">
      <c r="B5956"/>
    </row>
    <row r="5957" spans="2:2" x14ac:dyDescent="0.25">
      <c r="B5957"/>
    </row>
    <row r="5958" spans="2:2" x14ac:dyDescent="0.25">
      <c r="B5958"/>
    </row>
    <row r="5959" spans="2:2" x14ac:dyDescent="0.25">
      <c r="B5959"/>
    </row>
    <row r="5960" spans="2:2" x14ac:dyDescent="0.25">
      <c r="B5960"/>
    </row>
    <row r="5961" spans="2:2" x14ac:dyDescent="0.25">
      <c r="B5961"/>
    </row>
    <row r="5962" spans="2:2" x14ac:dyDescent="0.25">
      <c r="B5962"/>
    </row>
    <row r="5963" spans="2:2" x14ac:dyDescent="0.25">
      <c r="B5963"/>
    </row>
    <row r="5964" spans="2:2" x14ac:dyDescent="0.25">
      <c r="B5964"/>
    </row>
    <row r="5965" spans="2:2" x14ac:dyDescent="0.25">
      <c r="B5965"/>
    </row>
    <row r="5966" spans="2:2" x14ac:dyDescent="0.25">
      <c r="B5966"/>
    </row>
    <row r="5967" spans="2:2" x14ac:dyDescent="0.25">
      <c r="B5967"/>
    </row>
    <row r="5968" spans="2:2" x14ac:dyDescent="0.25">
      <c r="B5968"/>
    </row>
    <row r="5969" spans="2:2" x14ac:dyDescent="0.25">
      <c r="B5969"/>
    </row>
    <row r="5970" spans="2:2" x14ac:dyDescent="0.25">
      <c r="B5970"/>
    </row>
    <row r="5971" spans="2:2" x14ac:dyDescent="0.25">
      <c r="B5971"/>
    </row>
    <row r="5972" spans="2:2" x14ac:dyDescent="0.25">
      <c r="B5972"/>
    </row>
    <row r="5973" spans="2:2" x14ac:dyDescent="0.25">
      <c r="B5973"/>
    </row>
    <row r="5974" spans="2:2" x14ac:dyDescent="0.25">
      <c r="B5974"/>
    </row>
    <row r="5975" spans="2:2" x14ac:dyDescent="0.25">
      <c r="B5975"/>
    </row>
    <row r="5976" spans="2:2" x14ac:dyDescent="0.25">
      <c r="B5976"/>
    </row>
    <row r="5977" spans="2:2" x14ac:dyDescent="0.25">
      <c r="B5977"/>
    </row>
    <row r="5978" spans="2:2" x14ac:dyDescent="0.25">
      <c r="B5978"/>
    </row>
    <row r="5979" spans="2:2" x14ac:dyDescent="0.25">
      <c r="B5979"/>
    </row>
    <row r="5980" spans="2:2" x14ac:dyDescent="0.25">
      <c r="B5980"/>
    </row>
    <row r="5981" spans="2:2" x14ac:dyDescent="0.25">
      <c r="B5981"/>
    </row>
    <row r="5982" spans="2:2" x14ac:dyDescent="0.25">
      <c r="B5982"/>
    </row>
    <row r="5983" spans="2:2" x14ac:dyDescent="0.25">
      <c r="B5983"/>
    </row>
    <row r="5984" spans="2:2" x14ac:dyDescent="0.25">
      <c r="B5984"/>
    </row>
    <row r="5985" spans="2:2" x14ac:dyDescent="0.25">
      <c r="B5985"/>
    </row>
    <row r="5986" spans="2:2" x14ac:dyDescent="0.25">
      <c r="B5986"/>
    </row>
    <row r="5987" spans="2:2" x14ac:dyDescent="0.25">
      <c r="B5987"/>
    </row>
    <row r="5988" spans="2:2" x14ac:dyDescent="0.25">
      <c r="B5988"/>
    </row>
    <row r="5989" spans="2:2" x14ac:dyDescent="0.25">
      <c r="B5989"/>
    </row>
    <row r="5990" spans="2:2" x14ac:dyDescent="0.25">
      <c r="B5990"/>
    </row>
    <row r="5991" spans="2:2" x14ac:dyDescent="0.25">
      <c r="B5991"/>
    </row>
    <row r="5992" spans="2:2" x14ac:dyDescent="0.25">
      <c r="B5992"/>
    </row>
    <row r="5993" spans="2:2" x14ac:dyDescent="0.25">
      <c r="B5993"/>
    </row>
    <row r="5994" spans="2:2" x14ac:dyDescent="0.25">
      <c r="B5994"/>
    </row>
    <row r="5995" spans="2:2" x14ac:dyDescent="0.25">
      <c r="B5995"/>
    </row>
    <row r="5996" spans="2:2" x14ac:dyDescent="0.25">
      <c r="B5996"/>
    </row>
    <row r="5997" spans="2:2" x14ac:dyDescent="0.25">
      <c r="B5997"/>
    </row>
    <row r="5998" spans="2:2" x14ac:dyDescent="0.25">
      <c r="B5998"/>
    </row>
    <row r="5999" spans="2:2" x14ac:dyDescent="0.25">
      <c r="B5999"/>
    </row>
    <row r="6000" spans="2:2" x14ac:dyDescent="0.25">
      <c r="B6000"/>
    </row>
    <row r="6001" spans="2:2" x14ac:dyDescent="0.25">
      <c r="B6001"/>
    </row>
    <row r="6002" spans="2:2" x14ac:dyDescent="0.25">
      <c r="B6002"/>
    </row>
    <row r="6003" spans="2:2" x14ac:dyDescent="0.25">
      <c r="B6003"/>
    </row>
    <row r="6004" spans="2:2" x14ac:dyDescent="0.25">
      <c r="B6004"/>
    </row>
    <row r="6005" spans="2:2" x14ac:dyDescent="0.25">
      <c r="B6005"/>
    </row>
    <row r="6006" spans="2:2" x14ac:dyDescent="0.25">
      <c r="B6006"/>
    </row>
    <row r="6007" spans="2:2" x14ac:dyDescent="0.25">
      <c r="B6007"/>
    </row>
    <row r="6008" spans="2:2" x14ac:dyDescent="0.25">
      <c r="B6008"/>
    </row>
    <row r="6009" spans="2:2" x14ac:dyDescent="0.25">
      <c r="B6009"/>
    </row>
    <row r="6010" spans="2:2" x14ac:dyDescent="0.25">
      <c r="B6010"/>
    </row>
    <row r="6011" spans="2:2" x14ac:dyDescent="0.25">
      <c r="B6011"/>
    </row>
    <row r="6012" spans="2:2" x14ac:dyDescent="0.25">
      <c r="B6012"/>
    </row>
    <row r="6013" spans="2:2" x14ac:dyDescent="0.25">
      <c r="B6013"/>
    </row>
    <row r="6014" spans="2:2" x14ac:dyDescent="0.25">
      <c r="B6014"/>
    </row>
    <row r="6015" spans="2:2" x14ac:dyDescent="0.25">
      <c r="B6015"/>
    </row>
    <row r="6016" spans="2:2" x14ac:dyDescent="0.25">
      <c r="B6016"/>
    </row>
    <row r="6017" spans="2:2" x14ac:dyDescent="0.25">
      <c r="B6017"/>
    </row>
    <row r="6018" spans="2:2" x14ac:dyDescent="0.25">
      <c r="B6018"/>
    </row>
    <row r="6019" spans="2:2" x14ac:dyDescent="0.25">
      <c r="B6019"/>
    </row>
    <row r="6020" spans="2:2" x14ac:dyDescent="0.25">
      <c r="B6020"/>
    </row>
    <row r="6021" spans="2:2" x14ac:dyDescent="0.25">
      <c r="B6021"/>
    </row>
    <row r="6022" spans="2:2" x14ac:dyDescent="0.25">
      <c r="B6022"/>
    </row>
    <row r="6023" spans="2:2" x14ac:dyDescent="0.25">
      <c r="B6023"/>
    </row>
    <row r="6024" spans="2:2" x14ac:dyDescent="0.25">
      <c r="B6024"/>
    </row>
    <row r="6025" spans="2:2" x14ac:dyDescent="0.25">
      <c r="B6025"/>
    </row>
    <row r="6026" spans="2:2" x14ac:dyDescent="0.25">
      <c r="B6026"/>
    </row>
    <row r="6027" spans="2:2" x14ac:dyDescent="0.25">
      <c r="B6027"/>
    </row>
    <row r="6028" spans="2:2" x14ac:dyDescent="0.25">
      <c r="B6028"/>
    </row>
    <row r="6029" spans="2:2" x14ac:dyDescent="0.25">
      <c r="B6029"/>
    </row>
    <row r="6030" spans="2:2" x14ac:dyDescent="0.25">
      <c r="B6030"/>
    </row>
    <row r="6031" spans="2:2" x14ac:dyDescent="0.25">
      <c r="B6031"/>
    </row>
    <row r="6032" spans="2:2" x14ac:dyDescent="0.25">
      <c r="B6032"/>
    </row>
    <row r="6033" spans="2:2" x14ac:dyDescent="0.25">
      <c r="B6033"/>
    </row>
    <row r="6034" spans="2:2" x14ac:dyDescent="0.25">
      <c r="B6034"/>
    </row>
    <row r="6035" spans="2:2" x14ac:dyDescent="0.25">
      <c r="B6035"/>
    </row>
    <row r="6036" spans="2:2" x14ac:dyDescent="0.25">
      <c r="B6036"/>
    </row>
    <row r="6037" spans="2:2" x14ac:dyDescent="0.25">
      <c r="B6037"/>
    </row>
    <row r="6038" spans="2:2" x14ac:dyDescent="0.25">
      <c r="B6038"/>
    </row>
    <row r="6039" spans="2:2" x14ac:dyDescent="0.25">
      <c r="B6039"/>
    </row>
    <row r="6040" spans="2:2" x14ac:dyDescent="0.25">
      <c r="B6040"/>
    </row>
    <row r="6041" spans="2:2" x14ac:dyDescent="0.25">
      <c r="B6041"/>
    </row>
    <row r="6042" spans="2:2" x14ac:dyDescent="0.25">
      <c r="B6042"/>
    </row>
    <row r="6043" spans="2:2" x14ac:dyDescent="0.25">
      <c r="B6043"/>
    </row>
    <row r="6044" spans="2:2" x14ac:dyDescent="0.25">
      <c r="B6044"/>
    </row>
    <row r="6045" spans="2:2" x14ac:dyDescent="0.25">
      <c r="B6045"/>
    </row>
    <row r="6046" spans="2:2" x14ac:dyDescent="0.25">
      <c r="B6046"/>
    </row>
    <row r="6047" spans="2:2" x14ac:dyDescent="0.25">
      <c r="B6047"/>
    </row>
    <row r="6048" spans="2:2" x14ac:dyDescent="0.25">
      <c r="B6048"/>
    </row>
    <row r="6049" spans="2:2" x14ac:dyDescent="0.25">
      <c r="B6049"/>
    </row>
    <row r="6050" spans="2:2" x14ac:dyDescent="0.25">
      <c r="B6050"/>
    </row>
    <row r="6051" spans="2:2" x14ac:dyDescent="0.25">
      <c r="B6051"/>
    </row>
    <row r="6052" spans="2:2" x14ac:dyDescent="0.25">
      <c r="B6052"/>
    </row>
    <row r="6053" spans="2:2" x14ac:dyDescent="0.25">
      <c r="B6053"/>
    </row>
    <row r="6054" spans="2:2" x14ac:dyDescent="0.25">
      <c r="B6054"/>
    </row>
    <row r="6055" spans="2:2" x14ac:dyDescent="0.25">
      <c r="B6055"/>
    </row>
    <row r="6056" spans="2:2" x14ac:dyDescent="0.25">
      <c r="B6056"/>
    </row>
    <row r="6057" spans="2:2" x14ac:dyDescent="0.25">
      <c r="B6057"/>
    </row>
    <row r="6058" spans="2:2" x14ac:dyDescent="0.25">
      <c r="B6058"/>
    </row>
    <row r="6059" spans="2:2" x14ac:dyDescent="0.25">
      <c r="B6059"/>
    </row>
    <row r="6060" spans="2:2" x14ac:dyDescent="0.25">
      <c r="B6060"/>
    </row>
    <row r="6061" spans="2:2" x14ac:dyDescent="0.25">
      <c r="B6061"/>
    </row>
    <row r="6062" spans="2:2" x14ac:dyDescent="0.25">
      <c r="B6062"/>
    </row>
    <row r="6063" spans="2:2" x14ac:dyDescent="0.25">
      <c r="B6063"/>
    </row>
    <row r="6064" spans="2:2" x14ac:dyDescent="0.25">
      <c r="B6064"/>
    </row>
    <row r="6065" spans="2:2" x14ac:dyDescent="0.25">
      <c r="B6065"/>
    </row>
    <row r="6066" spans="2:2" x14ac:dyDescent="0.25">
      <c r="B6066"/>
    </row>
    <row r="6067" spans="2:2" x14ac:dyDescent="0.25">
      <c r="B6067"/>
    </row>
    <row r="6068" spans="2:2" x14ac:dyDescent="0.25">
      <c r="B6068"/>
    </row>
    <row r="6069" spans="2:2" x14ac:dyDescent="0.25">
      <c r="B6069"/>
    </row>
    <row r="6070" spans="2:2" x14ac:dyDescent="0.25">
      <c r="B6070"/>
    </row>
    <row r="6071" spans="2:2" x14ac:dyDescent="0.25">
      <c r="B6071"/>
    </row>
    <row r="6072" spans="2:2" x14ac:dyDescent="0.25">
      <c r="B6072"/>
    </row>
    <row r="6073" spans="2:2" x14ac:dyDescent="0.25">
      <c r="B6073"/>
    </row>
    <row r="6074" spans="2:2" x14ac:dyDescent="0.25">
      <c r="B6074"/>
    </row>
    <row r="6075" spans="2:2" x14ac:dyDescent="0.25">
      <c r="B6075"/>
    </row>
    <row r="6076" spans="2:2" x14ac:dyDescent="0.25">
      <c r="B6076"/>
    </row>
    <row r="6077" spans="2:2" x14ac:dyDescent="0.25">
      <c r="B6077"/>
    </row>
    <row r="6078" spans="2:2" x14ac:dyDescent="0.25">
      <c r="B6078"/>
    </row>
    <row r="6079" spans="2:2" x14ac:dyDescent="0.25">
      <c r="B6079"/>
    </row>
    <row r="6080" spans="2:2" x14ac:dyDescent="0.25">
      <c r="B6080"/>
    </row>
    <row r="6081" spans="2:2" x14ac:dyDescent="0.25">
      <c r="B6081"/>
    </row>
    <row r="6082" spans="2:2" x14ac:dyDescent="0.25">
      <c r="B6082"/>
    </row>
    <row r="6083" spans="2:2" x14ac:dyDescent="0.25">
      <c r="B6083"/>
    </row>
    <row r="6084" spans="2:2" x14ac:dyDescent="0.25">
      <c r="B6084"/>
    </row>
    <row r="6085" spans="2:2" x14ac:dyDescent="0.25">
      <c r="B6085"/>
    </row>
    <row r="6086" spans="2:2" x14ac:dyDescent="0.25">
      <c r="B6086"/>
    </row>
    <row r="6087" spans="2:2" x14ac:dyDescent="0.25">
      <c r="B6087"/>
    </row>
    <row r="6088" spans="2:2" x14ac:dyDescent="0.25">
      <c r="B6088"/>
    </row>
    <row r="6089" spans="2:2" x14ac:dyDescent="0.25">
      <c r="B6089"/>
    </row>
    <row r="6090" spans="2:2" x14ac:dyDescent="0.25">
      <c r="B6090"/>
    </row>
    <row r="6091" spans="2:2" x14ac:dyDescent="0.25">
      <c r="B6091"/>
    </row>
    <row r="6092" spans="2:2" x14ac:dyDescent="0.25">
      <c r="B6092"/>
    </row>
    <row r="6093" spans="2:2" x14ac:dyDescent="0.25">
      <c r="B6093"/>
    </row>
    <row r="6094" spans="2:2" x14ac:dyDescent="0.25">
      <c r="B6094"/>
    </row>
    <row r="6095" spans="2:2" x14ac:dyDescent="0.25">
      <c r="B6095"/>
    </row>
    <row r="6096" spans="2:2" x14ac:dyDescent="0.25">
      <c r="B6096"/>
    </row>
    <row r="6097" spans="2:2" x14ac:dyDescent="0.25">
      <c r="B6097"/>
    </row>
    <row r="6098" spans="2:2" x14ac:dyDescent="0.25">
      <c r="B6098"/>
    </row>
    <row r="6099" spans="2:2" x14ac:dyDescent="0.25">
      <c r="B6099"/>
    </row>
    <row r="6100" spans="2:2" x14ac:dyDescent="0.25">
      <c r="B6100"/>
    </row>
    <row r="6101" spans="2:2" x14ac:dyDescent="0.25">
      <c r="B6101"/>
    </row>
    <row r="6102" spans="2:2" x14ac:dyDescent="0.25">
      <c r="B6102"/>
    </row>
    <row r="6103" spans="2:2" x14ac:dyDescent="0.25">
      <c r="B6103"/>
    </row>
    <row r="6104" spans="2:2" x14ac:dyDescent="0.25">
      <c r="B6104"/>
    </row>
    <row r="6105" spans="2:2" x14ac:dyDescent="0.25">
      <c r="B6105"/>
    </row>
    <row r="6106" spans="2:2" x14ac:dyDescent="0.25">
      <c r="B6106"/>
    </row>
    <row r="6107" spans="2:2" x14ac:dyDescent="0.25">
      <c r="B6107"/>
    </row>
    <row r="6108" spans="2:2" x14ac:dyDescent="0.25">
      <c r="B6108"/>
    </row>
    <row r="6109" spans="2:2" x14ac:dyDescent="0.25">
      <c r="B6109"/>
    </row>
    <row r="6110" spans="2:2" x14ac:dyDescent="0.25">
      <c r="B6110"/>
    </row>
    <row r="6111" spans="2:2" x14ac:dyDescent="0.25">
      <c r="B6111"/>
    </row>
    <row r="6112" spans="2:2" x14ac:dyDescent="0.25">
      <c r="B6112"/>
    </row>
    <row r="6113" spans="2:2" x14ac:dyDescent="0.25">
      <c r="B6113"/>
    </row>
    <row r="6114" spans="2:2" x14ac:dyDescent="0.25">
      <c r="B6114"/>
    </row>
    <row r="6115" spans="2:2" x14ac:dyDescent="0.25">
      <c r="B6115"/>
    </row>
    <row r="6116" spans="2:2" x14ac:dyDescent="0.25">
      <c r="B6116"/>
    </row>
    <row r="6117" spans="2:2" x14ac:dyDescent="0.25">
      <c r="B6117"/>
    </row>
    <row r="6118" spans="2:2" x14ac:dyDescent="0.25">
      <c r="B6118"/>
    </row>
    <row r="6119" spans="2:2" x14ac:dyDescent="0.25">
      <c r="B6119"/>
    </row>
    <row r="6120" spans="2:2" x14ac:dyDescent="0.25">
      <c r="B6120"/>
    </row>
    <row r="6121" spans="2:2" x14ac:dyDescent="0.25">
      <c r="B6121"/>
    </row>
    <row r="6122" spans="2:2" x14ac:dyDescent="0.25">
      <c r="B6122"/>
    </row>
    <row r="6123" spans="2:2" x14ac:dyDescent="0.25">
      <c r="B6123"/>
    </row>
    <row r="6124" spans="2:2" x14ac:dyDescent="0.25">
      <c r="B6124"/>
    </row>
    <row r="6125" spans="2:2" x14ac:dyDescent="0.25">
      <c r="B6125"/>
    </row>
    <row r="6126" spans="2:2" x14ac:dyDescent="0.25">
      <c r="B6126"/>
    </row>
    <row r="6127" spans="2:2" x14ac:dyDescent="0.25">
      <c r="B6127"/>
    </row>
    <row r="6128" spans="2:2" x14ac:dyDescent="0.25">
      <c r="B6128"/>
    </row>
    <row r="6129" spans="2:2" x14ac:dyDescent="0.25">
      <c r="B6129"/>
    </row>
    <row r="6130" spans="2:2" x14ac:dyDescent="0.25">
      <c r="B6130"/>
    </row>
    <row r="6131" spans="2:2" x14ac:dyDescent="0.25">
      <c r="B6131"/>
    </row>
    <row r="6132" spans="2:2" x14ac:dyDescent="0.25">
      <c r="B6132"/>
    </row>
    <row r="6133" spans="2:2" x14ac:dyDescent="0.25">
      <c r="B6133"/>
    </row>
    <row r="6134" spans="2:2" x14ac:dyDescent="0.25">
      <c r="B6134"/>
    </row>
    <row r="6135" spans="2:2" x14ac:dyDescent="0.25">
      <c r="B6135"/>
    </row>
    <row r="6136" spans="2:2" x14ac:dyDescent="0.25">
      <c r="B6136"/>
    </row>
    <row r="6137" spans="2:2" x14ac:dyDescent="0.25">
      <c r="B6137"/>
    </row>
    <row r="6138" spans="2:2" x14ac:dyDescent="0.25">
      <c r="B6138"/>
    </row>
    <row r="6139" spans="2:2" x14ac:dyDescent="0.25">
      <c r="B6139"/>
    </row>
    <row r="6140" spans="2:2" x14ac:dyDescent="0.25">
      <c r="B6140"/>
    </row>
    <row r="6141" spans="2:2" x14ac:dyDescent="0.25">
      <c r="B6141"/>
    </row>
    <row r="6142" spans="2:2" x14ac:dyDescent="0.25">
      <c r="B6142"/>
    </row>
    <row r="6143" spans="2:2" x14ac:dyDescent="0.25">
      <c r="B6143"/>
    </row>
    <row r="6144" spans="2:2" x14ac:dyDescent="0.25">
      <c r="B6144"/>
    </row>
    <row r="6145" spans="2:2" x14ac:dyDescent="0.25">
      <c r="B6145"/>
    </row>
    <row r="6146" spans="2:2" x14ac:dyDescent="0.25">
      <c r="B6146"/>
    </row>
    <row r="6147" spans="2:2" x14ac:dyDescent="0.25">
      <c r="B6147"/>
    </row>
    <row r="6148" spans="2:2" x14ac:dyDescent="0.25">
      <c r="B6148"/>
    </row>
    <row r="6149" spans="2:2" x14ac:dyDescent="0.25">
      <c r="B6149"/>
    </row>
    <row r="6150" spans="2:2" x14ac:dyDescent="0.25">
      <c r="B6150"/>
    </row>
    <row r="6151" spans="2:2" x14ac:dyDescent="0.25">
      <c r="B6151"/>
    </row>
    <row r="6152" spans="2:2" x14ac:dyDescent="0.25">
      <c r="B6152"/>
    </row>
    <row r="6153" spans="2:2" x14ac:dyDescent="0.25">
      <c r="B6153"/>
    </row>
    <row r="6154" spans="2:2" x14ac:dyDescent="0.25">
      <c r="B6154"/>
    </row>
    <row r="6155" spans="2:2" x14ac:dyDescent="0.25">
      <c r="B6155"/>
    </row>
    <row r="6156" spans="2:2" x14ac:dyDescent="0.25">
      <c r="B6156"/>
    </row>
    <row r="6157" spans="2:2" x14ac:dyDescent="0.25">
      <c r="B6157"/>
    </row>
    <row r="6158" spans="2:2" x14ac:dyDescent="0.25">
      <c r="B6158"/>
    </row>
    <row r="6159" spans="2:2" x14ac:dyDescent="0.25">
      <c r="B6159"/>
    </row>
    <row r="6160" spans="2:2" x14ac:dyDescent="0.25">
      <c r="B6160"/>
    </row>
    <row r="6161" spans="2:2" x14ac:dyDescent="0.25">
      <c r="B6161"/>
    </row>
    <row r="6162" spans="2:2" x14ac:dyDescent="0.25">
      <c r="B6162"/>
    </row>
    <row r="6163" spans="2:2" x14ac:dyDescent="0.25">
      <c r="B6163"/>
    </row>
    <row r="6164" spans="2:2" x14ac:dyDescent="0.25">
      <c r="B6164"/>
    </row>
    <row r="6165" spans="2:2" x14ac:dyDescent="0.25">
      <c r="B6165"/>
    </row>
    <row r="6166" spans="2:2" x14ac:dyDescent="0.25">
      <c r="B6166"/>
    </row>
    <row r="6167" spans="2:2" x14ac:dyDescent="0.25">
      <c r="B6167"/>
    </row>
    <row r="6168" spans="2:2" x14ac:dyDescent="0.25">
      <c r="B6168"/>
    </row>
    <row r="6169" spans="2:2" x14ac:dyDescent="0.25">
      <c r="B6169"/>
    </row>
    <row r="6170" spans="2:2" x14ac:dyDescent="0.25">
      <c r="B6170"/>
    </row>
    <row r="6171" spans="2:2" x14ac:dyDescent="0.25">
      <c r="B6171"/>
    </row>
    <row r="6172" spans="2:2" x14ac:dyDescent="0.25">
      <c r="B6172"/>
    </row>
    <row r="6173" spans="2:2" x14ac:dyDescent="0.25">
      <c r="B6173"/>
    </row>
    <row r="6174" spans="2:2" x14ac:dyDescent="0.25">
      <c r="B6174"/>
    </row>
    <row r="6175" spans="2:2" x14ac:dyDescent="0.25">
      <c r="B6175"/>
    </row>
    <row r="6176" spans="2:2" x14ac:dyDescent="0.25">
      <c r="B6176"/>
    </row>
    <row r="6177" spans="2:2" x14ac:dyDescent="0.25">
      <c r="B6177"/>
    </row>
    <row r="6178" spans="2:2" x14ac:dyDescent="0.25">
      <c r="B6178"/>
    </row>
    <row r="6179" spans="2:2" x14ac:dyDescent="0.25">
      <c r="B6179"/>
    </row>
    <row r="6180" spans="2:2" x14ac:dyDescent="0.25">
      <c r="B6180"/>
    </row>
    <row r="6181" spans="2:2" x14ac:dyDescent="0.25">
      <c r="B6181"/>
    </row>
    <row r="6182" spans="2:2" x14ac:dyDescent="0.25">
      <c r="B6182"/>
    </row>
    <row r="6183" spans="2:2" x14ac:dyDescent="0.25">
      <c r="B6183"/>
    </row>
    <row r="6184" spans="2:2" x14ac:dyDescent="0.25">
      <c r="B6184"/>
    </row>
    <row r="6185" spans="2:2" x14ac:dyDescent="0.25">
      <c r="B6185"/>
    </row>
    <row r="6186" spans="2:2" x14ac:dyDescent="0.25">
      <c r="B6186"/>
    </row>
    <row r="6187" spans="2:2" x14ac:dyDescent="0.25">
      <c r="B6187"/>
    </row>
    <row r="6188" spans="2:2" x14ac:dyDescent="0.25">
      <c r="B6188"/>
    </row>
    <row r="6189" spans="2:2" x14ac:dyDescent="0.25">
      <c r="B6189"/>
    </row>
    <row r="6190" spans="2:2" x14ac:dyDescent="0.25">
      <c r="B6190"/>
    </row>
    <row r="6191" spans="2:2" x14ac:dyDescent="0.25">
      <c r="B6191"/>
    </row>
    <row r="6192" spans="2:2" x14ac:dyDescent="0.25">
      <c r="B6192"/>
    </row>
    <row r="6193" spans="2:2" x14ac:dyDescent="0.25">
      <c r="B6193"/>
    </row>
    <row r="6194" spans="2:2" x14ac:dyDescent="0.25">
      <c r="B6194"/>
    </row>
    <row r="6195" spans="2:2" x14ac:dyDescent="0.25">
      <c r="B6195"/>
    </row>
    <row r="6196" spans="2:2" x14ac:dyDescent="0.25">
      <c r="B6196"/>
    </row>
    <row r="6197" spans="2:2" x14ac:dyDescent="0.25">
      <c r="B6197"/>
    </row>
    <row r="6198" spans="2:2" x14ac:dyDescent="0.25">
      <c r="B6198"/>
    </row>
    <row r="6199" spans="2:2" x14ac:dyDescent="0.25">
      <c r="B6199"/>
    </row>
    <row r="6200" spans="2:2" x14ac:dyDescent="0.25">
      <c r="B6200"/>
    </row>
    <row r="6201" spans="2:2" x14ac:dyDescent="0.25">
      <c r="B6201"/>
    </row>
    <row r="6202" spans="2:2" x14ac:dyDescent="0.25">
      <c r="B6202"/>
    </row>
    <row r="6203" spans="2:2" x14ac:dyDescent="0.25">
      <c r="B6203"/>
    </row>
    <row r="6204" spans="2:2" x14ac:dyDescent="0.25">
      <c r="B6204"/>
    </row>
    <row r="6205" spans="2:2" x14ac:dyDescent="0.25">
      <c r="B6205"/>
    </row>
    <row r="6206" spans="2:2" x14ac:dyDescent="0.25">
      <c r="B6206"/>
    </row>
    <row r="6207" spans="2:2" x14ac:dyDescent="0.25">
      <c r="B6207"/>
    </row>
    <row r="6208" spans="2:2" x14ac:dyDescent="0.25">
      <c r="B6208"/>
    </row>
    <row r="6209" spans="2:2" x14ac:dyDescent="0.25">
      <c r="B6209"/>
    </row>
    <row r="6210" spans="2:2" x14ac:dyDescent="0.25">
      <c r="B6210"/>
    </row>
    <row r="6211" spans="2:2" x14ac:dyDescent="0.25">
      <c r="B6211"/>
    </row>
    <row r="6212" spans="2:2" x14ac:dyDescent="0.25">
      <c r="B6212"/>
    </row>
    <row r="6213" spans="2:2" x14ac:dyDescent="0.25">
      <c r="B6213"/>
    </row>
    <row r="6214" spans="2:2" x14ac:dyDescent="0.25">
      <c r="B6214"/>
    </row>
    <row r="6215" spans="2:2" x14ac:dyDescent="0.25">
      <c r="B6215"/>
    </row>
    <row r="6216" spans="2:2" x14ac:dyDescent="0.25">
      <c r="B6216"/>
    </row>
    <row r="6217" spans="2:2" x14ac:dyDescent="0.25">
      <c r="B6217"/>
    </row>
    <row r="6218" spans="2:2" x14ac:dyDescent="0.25">
      <c r="B6218"/>
    </row>
    <row r="6219" spans="2:2" x14ac:dyDescent="0.25">
      <c r="B6219"/>
    </row>
    <row r="6220" spans="2:2" x14ac:dyDescent="0.25">
      <c r="B6220"/>
    </row>
    <row r="6221" spans="2:2" x14ac:dyDescent="0.25">
      <c r="B6221"/>
    </row>
    <row r="6222" spans="2:2" x14ac:dyDescent="0.25">
      <c r="B6222"/>
    </row>
    <row r="6223" spans="2:2" x14ac:dyDescent="0.25">
      <c r="B6223"/>
    </row>
    <row r="6224" spans="2:2" x14ac:dyDescent="0.25">
      <c r="B6224"/>
    </row>
    <row r="6225" spans="2:2" x14ac:dyDescent="0.25">
      <c r="B6225"/>
    </row>
    <row r="6226" spans="2:2" x14ac:dyDescent="0.25">
      <c r="B6226"/>
    </row>
    <row r="6227" spans="2:2" x14ac:dyDescent="0.25">
      <c r="B6227"/>
    </row>
    <row r="6228" spans="2:2" x14ac:dyDescent="0.25">
      <c r="B6228"/>
    </row>
    <row r="6229" spans="2:2" x14ac:dyDescent="0.25">
      <c r="B6229"/>
    </row>
    <row r="6230" spans="2:2" x14ac:dyDescent="0.25">
      <c r="B6230"/>
    </row>
    <row r="6231" spans="2:2" x14ac:dyDescent="0.25">
      <c r="B6231"/>
    </row>
    <row r="6232" spans="2:2" x14ac:dyDescent="0.25">
      <c r="B6232"/>
    </row>
    <row r="6233" spans="2:2" x14ac:dyDescent="0.25">
      <c r="B6233"/>
    </row>
    <row r="6234" spans="2:2" x14ac:dyDescent="0.25">
      <c r="B6234"/>
    </row>
    <row r="6235" spans="2:2" x14ac:dyDescent="0.25">
      <c r="B6235"/>
    </row>
    <row r="6236" spans="2:2" x14ac:dyDescent="0.25">
      <c r="B6236"/>
    </row>
    <row r="6237" spans="2:2" x14ac:dyDescent="0.25">
      <c r="B6237"/>
    </row>
    <row r="6238" spans="2:2" x14ac:dyDescent="0.25">
      <c r="B6238"/>
    </row>
    <row r="6239" spans="2:2" x14ac:dyDescent="0.25">
      <c r="B6239"/>
    </row>
    <row r="6240" spans="2:2" x14ac:dyDescent="0.25">
      <c r="B6240"/>
    </row>
    <row r="6241" spans="2:2" x14ac:dyDescent="0.25">
      <c r="B6241"/>
    </row>
    <row r="6242" spans="2:2" x14ac:dyDescent="0.25">
      <c r="B6242"/>
    </row>
    <row r="6243" spans="2:2" x14ac:dyDescent="0.25">
      <c r="B6243"/>
    </row>
    <row r="6244" spans="2:2" x14ac:dyDescent="0.25">
      <c r="B6244"/>
    </row>
    <row r="6245" spans="2:2" x14ac:dyDescent="0.25">
      <c r="B6245"/>
    </row>
    <row r="6246" spans="2:2" x14ac:dyDescent="0.25">
      <c r="B6246"/>
    </row>
    <row r="6247" spans="2:2" x14ac:dyDescent="0.25">
      <c r="B6247"/>
    </row>
    <row r="6248" spans="2:2" x14ac:dyDescent="0.25">
      <c r="B6248"/>
    </row>
    <row r="6249" spans="2:2" x14ac:dyDescent="0.25">
      <c r="B6249"/>
    </row>
    <row r="6250" spans="2:2" x14ac:dyDescent="0.25">
      <c r="B6250"/>
    </row>
    <row r="6251" spans="2:2" x14ac:dyDescent="0.25">
      <c r="B6251"/>
    </row>
    <row r="6252" spans="2:2" x14ac:dyDescent="0.25">
      <c r="B6252"/>
    </row>
    <row r="6253" spans="2:2" x14ac:dyDescent="0.25">
      <c r="B6253"/>
    </row>
    <row r="6254" spans="2:2" x14ac:dyDescent="0.25">
      <c r="B6254"/>
    </row>
    <row r="6255" spans="2:2" x14ac:dyDescent="0.25">
      <c r="B6255"/>
    </row>
    <row r="6256" spans="2:2" x14ac:dyDescent="0.25">
      <c r="B6256"/>
    </row>
    <row r="6257" spans="2:2" x14ac:dyDescent="0.25">
      <c r="B6257"/>
    </row>
    <row r="6258" spans="2:2" x14ac:dyDescent="0.25">
      <c r="B6258"/>
    </row>
    <row r="6259" spans="2:2" x14ac:dyDescent="0.25">
      <c r="B6259"/>
    </row>
    <row r="6260" spans="2:2" x14ac:dyDescent="0.25">
      <c r="B6260"/>
    </row>
    <row r="6261" spans="2:2" x14ac:dyDescent="0.25">
      <c r="B6261"/>
    </row>
    <row r="6262" spans="2:2" x14ac:dyDescent="0.25">
      <c r="B6262"/>
    </row>
    <row r="6263" spans="2:2" x14ac:dyDescent="0.25">
      <c r="B6263"/>
    </row>
    <row r="6264" spans="2:2" x14ac:dyDescent="0.25">
      <c r="B6264"/>
    </row>
    <row r="6265" spans="2:2" x14ac:dyDescent="0.25">
      <c r="B6265"/>
    </row>
    <row r="6266" spans="2:2" x14ac:dyDescent="0.25">
      <c r="B6266"/>
    </row>
    <row r="6267" spans="2:2" x14ac:dyDescent="0.25">
      <c r="B6267"/>
    </row>
    <row r="6268" spans="2:2" x14ac:dyDescent="0.25">
      <c r="B6268"/>
    </row>
    <row r="6269" spans="2:2" x14ac:dyDescent="0.25">
      <c r="B6269"/>
    </row>
    <row r="6270" spans="2:2" x14ac:dyDescent="0.25">
      <c r="B6270"/>
    </row>
    <row r="6271" spans="2:2" x14ac:dyDescent="0.25">
      <c r="B6271"/>
    </row>
    <row r="6272" spans="2:2" x14ac:dyDescent="0.25">
      <c r="B6272"/>
    </row>
    <row r="6273" spans="2:2" x14ac:dyDescent="0.25">
      <c r="B6273"/>
    </row>
    <row r="6274" spans="2:2" x14ac:dyDescent="0.25">
      <c r="B6274"/>
    </row>
    <row r="6275" spans="2:2" x14ac:dyDescent="0.25">
      <c r="B6275"/>
    </row>
    <row r="6276" spans="2:2" x14ac:dyDescent="0.25">
      <c r="B6276"/>
    </row>
    <row r="6277" spans="2:2" x14ac:dyDescent="0.25">
      <c r="B6277"/>
    </row>
    <row r="6278" spans="2:2" x14ac:dyDescent="0.25">
      <c r="B6278"/>
    </row>
    <row r="6279" spans="2:2" x14ac:dyDescent="0.25">
      <c r="B6279"/>
    </row>
    <row r="6280" spans="2:2" x14ac:dyDescent="0.25">
      <c r="B6280"/>
    </row>
    <row r="6281" spans="2:2" x14ac:dyDescent="0.25">
      <c r="B6281"/>
    </row>
    <row r="6282" spans="2:2" x14ac:dyDescent="0.25">
      <c r="B6282"/>
    </row>
    <row r="6283" spans="2:2" x14ac:dyDescent="0.25">
      <c r="B6283"/>
    </row>
    <row r="6284" spans="2:2" x14ac:dyDescent="0.25">
      <c r="B6284"/>
    </row>
    <row r="6285" spans="2:2" x14ac:dyDescent="0.25">
      <c r="B6285"/>
    </row>
    <row r="6286" spans="2:2" x14ac:dyDescent="0.25">
      <c r="B6286"/>
    </row>
    <row r="6287" spans="2:2" x14ac:dyDescent="0.25">
      <c r="B6287"/>
    </row>
    <row r="6288" spans="2:2" x14ac:dyDescent="0.25">
      <c r="B6288"/>
    </row>
    <row r="6289" spans="2:2" x14ac:dyDescent="0.25">
      <c r="B6289"/>
    </row>
    <row r="6290" spans="2:2" x14ac:dyDescent="0.25">
      <c r="B6290"/>
    </row>
    <row r="6291" spans="2:2" x14ac:dyDescent="0.25">
      <c r="B6291"/>
    </row>
    <row r="6292" spans="2:2" x14ac:dyDescent="0.25">
      <c r="B6292"/>
    </row>
    <row r="6293" spans="2:2" x14ac:dyDescent="0.25">
      <c r="B6293"/>
    </row>
    <row r="6294" spans="2:2" x14ac:dyDescent="0.25">
      <c r="B6294"/>
    </row>
    <row r="6295" spans="2:2" x14ac:dyDescent="0.25">
      <c r="B6295"/>
    </row>
    <row r="6296" spans="2:2" x14ac:dyDescent="0.25">
      <c r="B6296"/>
    </row>
    <row r="6297" spans="2:2" x14ac:dyDescent="0.25">
      <c r="B6297"/>
    </row>
    <row r="6298" spans="2:2" x14ac:dyDescent="0.25">
      <c r="B6298"/>
    </row>
    <row r="6299" spans="2:2" x14ac:dyDescent="0.25">
      <c r="B6299"/>
    </row>
    <row r="6300" spans="2:2" x14ac:dyDescent="0.25">
      <c r="B6300"/>
    </row>
    <row r="6301" spans="2:2" x14ac:dyDescent="0.25">
      <c r="B6301"/>
    </row>
    <row r="6302" spans="2:2" x14ac:dyDescent="0.25">
      <c r="B6302"/>
    </row>
    <row r="6303" spans="2:2" x14ac:dyDescent="0.25">
      <c r="B6303"/>
    </row>
    <row r="6304" spans="2:2" x14ac:dyDescent="0.25">
      <c r="B6304"/>
    </row>
    <row r="6305" spans="2:2" x14ac:dyDescent="0.25">
      <c r="B6305"/>
    </row>
    <row r="6306" spans="2:2" x14ac:dyDescent="0.25">
      <c r="B6306"/>
    </row>
    <row r="6307" spans="2:2" x14ac:dyDescent="0.25">
      <c r="B6307"/>
    </row>
    <row r="6308" spans="2:2" x14ac:dyDescent="0.25">
      <c r="B6308"/>
    </row>
    <row r="6309" spans="2:2" x14ac:dyDescent="0.25">
      <c r="B6309"/>
    </row>
    <row r="6310" spans="2:2" x14ac:dyDescent="0.25">
      <c r="B6310"/>
    </row>
    <row r="6311" spans="2:2" x14ac:dyDescent="0.25">
      <c r="B6311"/>
    </row>
    <row r="6312" spans="2:2" x14ac:dyDescent="0.25">
      <c r="B6312"/>
    </row>
    <row r="6313" spans="2:2" x14ac:dyDescent="0.25">
      <c r="B6313"/>
    </row>
    <row r="6314" spans="2:2" x14ac:dyDescent="0.25">
      <c r="B6314"/>
    </row>
    <row r="6315" spans="2:2" x14ac:dyDescent="0.25">
      <c r="B6315"/>
    </row>
    <row r="6316" spans="2:2" x14ac:dyDescent="0.25">
      <c r="B6316"/>
    </row>
    <row r="6317" spans="2:2" x14ac:dyDescent="0.25">
      <c r="B6317"/>
    </row>
    <row r="6318" spans="2:2" x14ac:dyDescent="0.25">
      <c r="B6318"/>
    </row>
    <row r="6319" spans="2:2" x14ac:dyDescent="0.25">
      <c r="B6319"/>
    </row>
    <row r="6320" spans="2:2" x14ac:dyDescent="0.25">
      <c r="B6320"/>
    </row>
    <row r="6321" spans="2:2" x14ac:dyDescent="0.25">
      <c r="B6321"/>
    </row>
    <row r="6322" spans="2:2" x14ac:dyDescent="0.25">
      <c r="B6322"/>
    </row>
    <row r="6323" spans="2:2" x14ac:dyDescent="0.25">
      <c r="B6323"/>
    </row>
    <row r="6324" spans="2:2" x14ac:dyDescent="0.25">
      <c r="B6324"/>
    </row>
    <row r="6325" spans="2:2" x14ac:dyDescent="0.25">
      <c r="B6325"/>
    </row>
    <row r="6326" spans="2:2" x14ac:dyDescent="0.25">
      <c r="B6326"/>
    </row>
    <row r="6327" spans="2:2" x14ac:dyDescent="0.25">
      <c r="B6327"/>
    </row>
    <row r="6328" spans="2:2" x14ac:dyDescent="0.25">
      <c r="B6328"/>
    </row>
    <row r="6329" spans="2:2" x14ac:dyDescent="0.25">
      <c r="B6329"/>
    </row>
    <row r="6330" spans="2:2" x14ac:dyDescent="0.25">
      <c r="B6330"/>
    </row>
    <row r="6331" spans="2:2" x14ac:dyDescent="0.25">
      <c r="B6331"/>
    </row>
    <row r="6332" spans="2:2" x14ac:dyDescent="0.25">
      <c r="B6332"/>
    </row>
    <row r="6333" spans="2:2" x14ac:dyDescent="0.25">
      <c r="B6333"/>
    </row>
    <row r="6334" spans="2:2" x14ac:dyDescent="0.25">
      <c r="B6334"/>
    </row>
    <row r="6335" spans="2:2" x14ac:dyDescent="0.25">
      <c r="B6335"/>
    </row>
    <row r="6336" spans="2:2" x14ac:dyDescent="0.25">
      <c r="B6336"/>
    </row>
    <row r="6337" spans="2:2" x14ac:dyDescent="0.25">
      <c r="B6337"/>
    </row>
    <row r="6338" spans="2:2" x14ac:dyDescent="0.25">
      <c r="B6338"/>
    </row>
    <row r="6339" spans="2:2" x14ac:dyDescent="0.25">
      <c r="B6339"/>
    </row>
    <row r="6340" spans="2:2" x14ac:dyDescent="0.25">
      <c r="B6340"/>
    </row>
    <row r="6341" spans="2:2" x14ac:dyDescent="0.25">
      <c r="B6341"/>
    </row>
    <row r="6342" spans="2:2" x14ac:dyDescent="0.25">
      <c r="B6342"/>
    </row>
    <row r="6343" spans="2:2" x14ac:dyDescent="0.25">
      <c r="B6343"/>
    </row>
    <row r="6344" spans="2:2" x14ac:dyDescent="0.25">
      <c r="B6344"/>
    </row>
    <row r="6345" spans="2:2" x14ac:dyDescent="0.25">
      <c r="B6345"/>
    </row>
    <row r="6346" spans="2:2" x14ac:dyDescent="0.25">
      <c r="B6346"/>
    </row>
    <row r="6347" spans="2:2" x14ac:dyDescent="0.25">
      <c r="B6347"/>
    </row>
    <row r="6348" spans="2:2" x14ac:dyDescent="0.25">
      <c r="B6348"/>
    </row>
    <row r="6349" spans="2:2" x14ac:dyDescent="0.25">
      <c r="B6349"/>
    </row>
    <row r="6350" spans="2:2" x14ac:dyDescent="0.25">
      <c r="B6350"/>
    </row>
    <row r="6351" spans="2:2" x14ac:dyDescent="0.25">
      <c r="B6351"/>
    </row>
    <row r="6352" spans="2:2" x14ac:dyDescent="0.25">
      <c r="B6352"/>
    </row>
    <row r="6353" spans="2:2" x14ac:dyDescent="0.25">
      <c r="B6353"/>
    </row>
    <row r="6354" spans="2:2" x14ac:dyDescent="0.25">
      <c r="B6354"/>
    </row>
    <row r="6355" spans="2:2" x14ac:dyDescent="0.25">
      <c r="B6355"/>
    </row>
    <row r="6356" spans="2:2" x14ac:dyDescent="0.25">
      <c r="B6356"/>
    </row>
    <row r="6357" spans="2:2" x14ac:dyDescent="0.25">
      <c r="B6357"/>
    </row>
    <row r="6358" spans="2:2" x14ac:dyDescent="0.25">
      <c r="B6358"/>
    </row>
    <row r="6359" spans="2:2" x14ac:dyDescent="0.25">
      <c r="B6359"/>
    </row>
    <row r="6360" spans="2:2" x14ac:dyDescent="0.25">
      <c r="B6360"/>
    </row>
    <row r="6361" spans="2:2" x14ac:dyDescent="0.25">
      <c r="B6361"/>
    </row>
    <row r="6362" spans="2:2" x14ac:dyDescent="0.25">
      <c r="B6362"/>
    </row>
    <row r="6363" spans="2:2" x14ac:dyDescent="0.25">
      <c r="B6363"/>
    </row>
    <row r="6364" spans="2:2" x14ac:dyDescent="0.25">
      <c r="B6364"/>
    </row>
    <row r="6365" spans="2:2" x14ac:dyDescent="0.25">
      <c r="B6365"/>
    </row>
    <row r="6366" spans="2:2" x14ac:dyDescent="0.25">
      <c r="B6366"/>
    </row>
    <row r="6367" spans="2:2" x14ac:dyDescent="0.25">
      <c r="B6367"/>
    </row>
    <row r="6368" spans="2:2" x14ac:dyDescent="0.25">
      <c r="B6368"/>
    </row>
    <row r="6369" spans="2:2" x14ac:dyDescent="0.25">
      <c r="B6369"/>
    </row>
    <row r="6370" spans="2:2" x14ac:dyDescent="0.25">
      <c r="B6370"/>
    </row>
    <row r="6371" spans="2:2" x14ac:dyDescent="0.25">
      <c r="B6371"/>
    </row>
    <row r="6372" spans="2:2" x14ac:dyDescent="0.25">
      <c r="B6372"/>
    </row>
    <row r="6373" spans="2:2" x14ac:dyDescent="0.25">
      <c r="B6373"/>
    </row>
    <row r="6374" spans="2:2" x14ac:dyDescent="0.25">
      <c r="B6374"/>
    </row>
    <row r="6375" spans="2:2" x14ac:dyDescent="0.25">
      <c r="B6375"/>
    </row>
    <row r="6376" spans="2:2" x14ac:dyDescent="0.25">
      <c r="B6376"/>
    </row>
    <row r="6377" spans="2:2" x14ac:dyDescent="0.25">
      <c r="B6377"/>
    </row>
    <row r="6378" spans="2:2" x14ac:dyDescent="0.25">
      <c r="B6378"/>
    </row>
    <row r="6379" spans="2:2" x14ac:dyDescent="0.25">
      <c r="B6379"/>
    </row>
    <row r="6380" spans="2:2" x14ac:dyDescent="0.25">
      <c r="B6380"/>
    </row>
    <row r="6381" spans="2:2" x14ac:dyDescent="0.25">
      <c r="B6381"/>
    </row>
    <row r="6382" spans="2:2" x14ac:dyDescent="0.25">
      <c r="B6382"/>
    </row>
    <row r="6383" spans="2:2" x14ac:dyDescent="0.25">
      <c r="B6383"/>
    </row>
    <row r="6384" spans="2:2" x14ac:dyDescent="0.25">
      <c r="B6384"/>
    </row>
    <row r="6385" spans="2:2" x14ac:dyDescent="0.25">
      <c r="B6385"/>
    </row>
    <row r="6386" spans="2:2" x14ac:dyDescent="0.25">
      <c r="B6386"/>
    </row>
    <row r="6387" spans="2:2" x14ac:dyDescent="0.25">
      <c r="B6387"/>
    </row>
    <row r="6388" spans="2:2" x14ac:dyDescent="0.25">
      <c r="B6388"/>
    </row>
    <row r="6389" spans="2:2" x14ac:dyDescent="0.25">
      <c r="B6389"/>
    </row>
    <row r="6390" spans="2:2" x14ac:dyDescent="0.25">
      <c r="B6390"/>
    </row>
    <row r="6391" spans="2:2" x14ac:dyDescent="0.25">
      <c r="B6391"/>
    </row>
    <row r="6392" spans="2:2" x14ac:dyDescent="0.25">
      <c r="B6392"/>
    </row>
    <row r="6393" spans="2:2" x14ac:dyDescent="0.25">
      <c r="B6393"/>
    </row>
    <row r="6394" spans="2:2" x14ac:dyDescent="0.25">
      <c r="B6394"/>
    </row>
    <row r="6395" spans="2:2" x14ac:dyDescent="0.25">
      <c r="B6395"/>
    </row>
    <row r="6396" spans="2:2" x14ac:dyDescent="0.25">
      <c r="B6396"/>
    </row>
    <row r="6397" spans="2:2" x14ac:dyDescent="0.25">
      <c r="B6397"/>
    </row>
    <row r="6398" spans="2:2" x14ac:dyDescent="0.25">
      <c r="B6398"/>
    </row>
    <row r="6399" spans="2:2" x14ac:dyDescent="0.25">
      <c r="B6399"/>
    </row>
    <row r="6400" spans="2:2" x14ac:dyDescent="0.25">
      <c r="B6400"/>
    </row>
    <row r="6401" spans="2:2" x14ac:dyDescent="0.25">
      <c r="B6401"/>
    </row>
    <row r="6402" spans="2:2" x14ac:dyDescent="0.25">
      <c r="B6402"/>
    </row>
    <row r="6403" spans="2:2" x14ac:dyDescent="0.25">
      <c r="B6403"/>
    </row>
    <row r="6404" spans="2:2" x14ac:dyDescent="0.25">
      <c r="B6404"/>
    </row>
    <row r="6405" spans="2:2" x14ac:dyDescent="0.25">
      <c r="B6405"/>
    </row>
    <row r="6406" spans="2:2" x14ac:dyDescent="0.25">
      <c r="B6406"/>
    </row>
    <row r="6407" spans="2:2" x14ac:dyDescent="0.25">
      <c r="B6407"/>
    </row>
    <row r="6408" spans="2:2" x14ac:dyDescent="0.25">
      <c r="B6408"/>
    </row>
    <row r="6409" spans="2:2" x14ac:dyDescent="0.25">
      <c r="B6409"/>
    </row>
    <row r="6410" spans="2:2" x14ac:dyDescent="0.25">
      <c r="B6410"/>
    </row>
    <row r="6411" spans="2:2" x14ac:dyDescent="0.25">
      <c r="B6411"/>
    </row>
    <row r="6412" spans="2:2" x14ac:dyDescent="0.25">
      <c r="B6412"/>
    </row>
    <row r="6413" spans="2:2" x14ac:dyDescent="0.25">
      <c r="B6413"/>
    </row>
    <row r="6414" spans="2:2" x14ac:dyDescent="0.25">
      <c r="B6414"/>
    </row>
    <row r="6415" spans="2:2" x14ac:dyDescent="0.25">
      <c r="B6415"/>
    </row>
    <row r="6416" spans="2:2" x14ac:dyDescent="0.25">
      <c r="B6416"/>
    </row>
    <row r="6417" spans="2:2" x14ac:dyDescent="0.25">
      <c r="B6417"/>
    </row>
    <row r="6418" spans="2:2" x14ac:dyDescent="0.25">
      <c r="B6418"/>
    </row>
    <row r="6419" spans="2:2" x14ac:dyDescent="0.25">
      <c r="B6419"/>
    </row>
    <row r="6420" spans="2:2" x14ac:dyDescent="0.25">
      <c r="B6420"/>
    </row>
    <row r="6421" spans="2:2" x14ac:dyDescent="0.25">
      <c r="B6421"/>
    </row>
    <row r="6422" spans="2:2" x14ac:dyDescent="0.25">
      <c r="B6422"/>
    </row>
    <row r="6423" spans="2:2" x14ac:dyDescent="0.25">
      <c r="B6423"/>
    </row>
    <row r="6424" spans="2:2" x14ac:dyDescent="0.25">
      <c r="B6424"/>
    </row>
    <row r="6425" spans="2:2" x14ac:dyDescent="0.25">
      <c r="B6425"/>
    </row>
    <row r="6426" spans="2:2" x14ac:dyDescent="0.25">
      <c r="B6426"/>
    </row>
    <row r="6427" spans="2:2" x14ac:dyDescent="0.25">
      <c r="B6427"/>
    </row>
    <row r="6428" spans="2:2" x14ac:dyDescent="0.25">
      <c r="B6428"/>
    </row>
    <row r="6429" spans="2:2" x14ac:dyDescent="0.25">
      <c r="B6429"/>
    </row>
    <row r="6430" spans="2:2" x14ac:dyDescent="0.25">
      <c r="B6430"/>
    </row>
    <row r="6431" spans="2:2" x14ac:dyDescent="0.25">
      <c r="B6431"/>
    </row>
    <row r="6432" spans="2:2" x14ac:dyDescent="0.25">
      <c r="B6432"/>
    </row>
    <row r="6433" spans="2:2" x14ac:dyDescent="0.25">
      <c r="B6433"/>
    </row>
    <row r="6434" spans="2:2" x14ac:dyDescent="0.25">
      <c r="B6434"/>
    </row>
    <row r="6435" spans="2:2" x14ac:dyDescent="0.25">
      <c r="B6435"/>
    </row>
    <row r="6436" spans="2:2" x14ac:dyDescent="0.25">
      <c r="B6436"/>
    </row>
    <row r="6437" spans="2:2" x14ac:dyDescent="0.25">
      <c r="B6437"/>
    </row>
    <row r="6438" spans="2:2" x14ac:dyDescent="0.25">
      <c r="B6438"/>
    </row>
    <row r="6439" spans="2:2" x14ac:dyDescent="0.25">
      <c r="B6439"/>
    </row>
    <row r="6440" spans="2:2" x14ac:dyDescent="0.25">
      <c r="B6440"/>
    </row>
    <row r="6441" spans="2:2" x14ac:dyDescent="0.25">
      <c r="B6441"/>
    </row>
    <row r="6442" spans="2:2" x14ac:dyDescent="0.25">
      <c r="B6442"/>
    </row>
    <row r="6443" spans="2:2" x14ac:dyDescent="0.25">
      <c r="B6443"/>
    </row>
    <row r="6444" spans="2:2" x14ac:dyDescent="0.25">
      <c r="B6444"/>
    </row>
    <row r="6445" spans="2:2" x14ac:dyDescent="0.25">
      <c r="B6445"/>
    </row>
    <row r="6446" spans="2:2" x14ac:dyDescent="0.25">
      <c r="B6446"/>
    </row>
    <row r="6447" spans="2:2" x14ac:dyDescent="0.25">
      <c r="B6447"/>
    </row>
    <row r="6448" spans="2:2" x14ac:dyDescent="0.25">
      <c r="B6448"/>
    </row>
    <row r="6449" spans="2:2" x14ac:dyDescent="0.25">
      <c r="B6449"/>
    </row>
    <row r="6450" spans="2:2" x14ac:dyDescent="0.25">
      <c r="B6450"/>
    </row>
    <row r="6451" spans="2:2" x14ac:dyDescent="0.25">
      <c r="B6451"/>
    </row>
    <row r="6452" spans="2:2" x14ac:dyDescent="0.25">
      <c r="B6452"/>
    </row>
    <row r="6453" spans="2:2" x14ac:dyDescent="0.25">
      <c r="B6453"/>
    </row>
    <row r="6454" spans="2:2" x14ac:dyDescent="0.25">
      <c r="B6454"/>
    </row>
    <row r="6455" spans="2:2" x14ac:dyDescent="0.25">
      <c r="B6455"/>
    </row>
    <row r="6456" spans="2:2" x14ac:dyDescent="0.25">
      <c r="B6456"/>
    </row>
    <row r="6457" spans="2:2" x14ac:dyDescent="0.25">
      <c r="B6457"/>
    </row>
    <row r="6458" spans="2:2" x14ac:dyDescent="0.25">
      <c r="B6458"/>
    </row>
    <row r="6459" spans="2:2" x14ac:dyDescent="0.25">
      <c r="B6459"/>
    </row>
    <row r="6460" spans="2:2" x14ac:dyDescent="0.25">
      <c r="B6460"/>
    </row>
    <row r="6461" spans="2:2" x14ac:dyDescent="0.25">
      <c r="B6461"/>
    </row>
    <row r="6462" spans="2:2" x14ac:dyDescent="0.25">
      <c r="B6462"/>
    </row>
    <row r="6463" spans="2:2" x14ac:dyDescent="0.25">
      <c r="B6463"/>
    </row>
    <row r="6464" spans="2:2" x14ac:dyDescent="0.25">
      <c r="B6464"/>
    </row>
    <row r="6465" spans="2:2" x14ac:dyDescent="0.25">
      <c r="B6465"/>
    </row>
    <row r="6466" spans="2:2" x14ac:dyDescent="0.25">
      <c r="B6466"/>
    </row>
    <row r="6467" spans="2:2" x14ac:dyDescent="0.25">
      <c r="B6467"/>
    </row>
    <row r="6468" spans="2:2" x14ac:dyDescent="0.25">
      <c r="B6468"/>
    </row>
    <row r="6469" spans="2:2" x14ac:dyDescent="0.25">
      <c r="B6469"/>
    </row>
    <row r="6470" spans="2:2" x14ac:dyDescent="0.25">
      <c r="B6470"/>
    </row>
    <row r="6471" spans="2:2" x14ac:dyDescent="0.25">
      <c r="B6471"/>
    </row>
    <row r="6472" spans="2:2" x14ac:dyDescent="0.25">
      <c r="B6472"/>
    </row>
    <row r="6473" spans="2:2" x14ac:dyDescent="0.25">
      <c r="B6473"/>
    </row>
    <row r="6474" spans="2:2" x14ac:dyDescent="0.25">
      <c r="B6474"/>
    </row>
    <row r="6475" spans="2:2" x14ac:dyDescent="0.25">
      <c r="B6475"/>
    </row>
    <row r="6476" spans="2:2" x14ac:dyDescent="0.25">
      <c r="B6476"/>
    </row>
    <row r="6477" spans="2:2" x14ac:dyDescent="0.25">
      <c r="B6477"/>
    </row>
    <row r="6478" spans="2:2" x14ac:dyDescent="0.25">
      <c r="B6478"/>
    </row>
    <row r="6479" spans="2:2" x14ac:dyDescent="0.25">
      <c r="B6479"/>
    </row>
    <row r="6480" spans="2:2" x14ac:dyDescent="0.25">
      <c r="B6480"/>
    </row>
    <row r="6481" spans="2:2" x14ac:dyDescent="0.25">
      <c r="B6481"/>
    </row>
    <row r="6482" spans="2:2" x14ac:dyDescent="0.25">
      <c r="B6482"/>
    </row>
    <row r="6483" spans="2:2" x14ac:dyDescent="0.25">
      <c r="B6483"/>
    </row>
    <row r="6484" spans="2:2" x14ac:dyDescent="0.25">
      <c r="B6484"/>
    </row>
    <row r="6485" spans="2:2" x14ac:dyDescent="0.25">
      <c r="B6485"/>
    </row>
    <row r="6486" spans="2:2" x14ac:dyDescent="0.25">
      <c r="B6486"/>
    </row>
    <row r="6487" spans="2:2" x14ac:dyDescent="0.25">
      <c r="B6487"/>
    </row>
    <row r="6488" spans="2:2" x14ac:dyDescent="0.25">
      <c r="B6488"/>
    </row>
    <row r="6489" spans="2:2" x14ac:dyDescent="0.25">
      <c r="B6489"/>
    </row>
    <row r="6490" spans="2:2" x14ac:dyDescent="0.25">
      <c r="B6490"/>
    </row>
    <row r="6491" spans="2:2" x14ac:dyDescent="0.25">
      <c r="B6491"/>
    </row>
    <row r="6492" spans="2:2" x14ac:dyDescent="0.25">
      <c r="B6492"/>
    </row>
    <row r="6493" spans="2:2" x14ac:dyDescent="0.25">
      <c r="B6493"/>
    </row>
    <row r="6494" spans="2:2" x14ac:dyDescent="0.25">
      <c r="B6494"/>
    </row>
    <row r="6495" spans="2:2" x14ac:dyDescent="0.25">
      <c r="B6495"/>
    </row>
    <row r="6496" spans="2:2" x14ac:dyDescent="0.25">
      <c r="B6496"/>
    </row>
    <row r="6497" spans="2:2" x14ac:dyDescent="0.25">
      <c r="B6497"/>
    </row>
    <row r="6498" spans="2:2" x14ac:dyDescent="0.25">
      <c r="B6498"/>
    </row>
    <row r="6499" spans="2:2" x14ac:dyDescent="0.25">
      <c r="B6499"/>
    </row>
    <row r="6500" spans="2:2" x14ac:dyDescent="0.25">
      <c r="B6500"/>
    </row>
    <row r="6501" spans="2:2" x14ac:dyDescent="0.25">
      <c r="B6501"/>
    </row>
    <row r="6502" spans="2:2" x14ac:dyDescent="0.25">
      <c r="B6502"/>
    </row>
    <row r="6503" spans="2:2" x14ac:dyDescent="0.25">
      <c r="B6503"/>
    </row>
    <row r="6504" spans="2:2" x14ac:dyDescent="0.25">
      <c r="B6504"/>
    </row>
    <row r="6505" spans="2:2" x14ac:dyDescent="0.25">
      <c r="B6505"/>
    </row>
    <row r="6506" spans="2:2" x14ac:dyDescent="0.25">
      <c r="B6506"/>
    </row>
    <row r="6507" spans="2:2" x14ac:dyDescent="0.25">
      <c r="B6507"/>
    </row>
    <row r="6508" spans="2:2" x14ac:dyDescent="0.25">
      <c r="B6508"/>
    </row>
    <row r="6509" spans="2:2" x14ac:dyDescent="0.25">
      <c r="B6509"/>
    </row>
    <row r="6510" spans="2:2" x14ac:dyDescent="0.25">
      <c r="B6510"/>
    </row>
    <row r="6511" spans="2:2" x14ac:dyDescent="0.25">
      <c r="B6511"/>
    </row>
    <row r="6512" spans="2:2" x14ac:dyDescent="0.25">
      <c r="B6512"/>
    </row>
    <row r="6513" spans="2:2" x14ac:dyDescent="0.25">
      <c r="B6513"/>
    </row>
    <row r="6514" spans="2:2" x14ac:dyDescent="0.25">
      <c r="B6514"/>
    </row>
    <row r="6515" spans="2:2" x14ac:dyDescent="0.25">
      <c r="B6515"/>
    </row>
    <row r="6516" spans="2:2" x14ac:dyDescent="0.25">
      <c r="B6516"/>
    </row>
    <row r="6517" spans="2:2" x14ac:dyDescent="0.25">
      <c r="B6517"/>
    </row>
    <row r="6518" spans="2:2" x14ac:dyDescent="0.25">
      <c r="B6518"/>
    </row>
    <row r="6519" spans="2:2" x14ac:dyDescent="0.25">
      <c r="B6519"/>
    </row>
    <row r="6520" spans="2:2" x14ac:dyDescent="0.25">
      <c r="B6520"/>
    </row>
    <row r="6521" spans="2:2" x14ac:dyDescent="0.25">
      <c r="B6521"/>
    </row>
    <row r="6522" spans="2:2" x14ac:dyDescent="0.25">
      <c r="B6522"/>
    </row>
    <row r="6523" spans="2:2" x14ac:dyDescent="0.25">
      <c r="B6523"/>
    </row>
    <row r="6524" spans="2:2" x14ac:dyDescent="0.25">
      <c r="B6524"/>
    </row>
    <row r="6525" spans="2:2" x14ac:dyDescent="0.25">
      <c r="B6525"/>
    </row>
    <row r="6526" spans="2:2" x14ac:dyDescent="0.25">
      <c r="B6526"/>
    </row>
    <row r="6527" spans="2:2" x14ac:dyDescent="0.25">
      <c r="B6527"/>
    </row>
    <row r="6528" spans="2:2" x14ac:dyDescent="0.25">
      <c r="B6528"/>
    </row>
    <row r="6529" spans="2:2" x14ac:dyDescent="0.25">
      <c r="B6529"/>
    </row>
    <row r="6530" spans="2:2" x14ac:dyDescent="0.25">
      <c r="B6530"/>
    </row>
    <row r="6531" spans="2:2" x14ac:dyDescent="0.25">
      <c r="B6531"/>
    </row>
    <row r="6532" spans="2:2" x14ac:dyDescent="0.25">
      <c r="B6532"/>
    </row>
    <row r="6533" spans="2:2" x14ac:dyDescent="0.25">
      <c r="B6533"/>
    </row>
    <row r="6534" spans="2:2" x14ac:dyDescent="0.25">
      <c r="B6534"/>
    </row>
    <row r="6535" spans="2:2" x14ac:dyDescent="0.25">
      <c r="B6535"/>
    </row>
    <row r="6536" spans="2:2" x14ac:dyDescent="0.25">
      <c r="B6536"/>
    </row>
    <row r="6537" spans="2:2" x14ac:dyDescent="0.25">
      <c r="B6537"/>
    </row>
    <row r="6538" spans="2:2" x14ac:dyDescent="0.25">
      <c r="B6538"/>
    </row>
    <row r="6539" spans="2:2" x14ac:dyDescent="0.25">
      <c r="B6539"/>
    </row>
    <row r="6540" spans="2:2" x14ac:dyDescent="0.25">
      <c r="B6540"/>
    </row>
    <row r="6541" spans="2:2" x14ac:dyDescent="0.25">
      <c r="B6541"/>
    </row>
    <row r="6542" spans="2:2" x14ac:dyDescent="0.25">
      <c r="B6542"/>
    </row>
    <row r="6543" spans="2:2" x14ac:dyDescent="0.25">
      <c r="B6543"/>
    </row>
    <row r="6544" spans="2:2" x14ac:dyDescent="0.25">
      <c r="B6544"/>
    </row>
    <row r="6545" spans="2:2" x14ac:dyDescent="0.25">
      <c r="B6545"/>
    </row>
    <row r="6546" spans="2:2" x14ac:dyDescent="0.25">
      <c r="B6546"/>
    </row>
    <row r="6547" spans="2:2" x14ac:dyDescent="0.25">
      <c r="B6547"/>
    </row>
    <row r="6548" spans="2:2" x14ac:dyDescent="0.25">
      <c r="B6548"/>
    </row>
    <row r="6549" spans="2:2" x14ac:dyDescent="0.25">
      <c r="B6549"/>
    </row>
    <row r="6550" spans="2:2" x14ac:dyDescent="0.25">
      <c r="B6550"/>
    </row>
    <row r="6551" spans="2:2" x14ac:dyDescent="0.25">
      <c r="B6551"/>
    </row>
    <row r="6552" spans="2:2" x14ac:dyDescent="0.25">
      <c r="B6552"/>
    </row>
    <row r="6553" spans="2:2" x14ac:dyDescent="0.25">
      <c r="B6553"/>
    </row>
    <row r="6554" spans="2:2" x14ac:dyDescent="0.25">
      <c r="B6554"/>
    </row>
    <row r="6555" spans="2:2" x14ac:dyDescent="0.25">
      <c r="B6555"/>
    </row>
    <row r="6556" spans="2:2" x14ac:dyDescent="0.25">
      <c r="B6556"/>
    </row>
    <row r="6557" spans="2:2" x14ac:dyDescent="0.25">
      <c r="B6557"/>
    </row>
    <row r="6558" spans="2:2" x14ac:dyDescent="0.25">
      <c r="B6558"/>
    </row>
    <row r="6559" spans="2:2" x14ac:dyDescent="0.25">
      <c r="B6559"/>
    </row>
    <row r="6560" spans="2:2" x14ac:dyDescent="0.25">
      <c r="B6560"/>
    </row>
    <row r="6561" spans="2:2" x14ac:dyDescent="0.25">
      <c r="B6561"/>
    </row>
    <row r="6562" spans="2:2" x14ac:dyDescent="0.25">
      <c r="B6562"/>
    </row>
    <row r="6563" spans="2:2" x14ac:dyDescent="0.25">
      <c r="B6563"/>
    </row>
    <row r="6564" spans="2:2" x14ac:dyDescent="0.25">
      <c r="B6564"/>
    </row>
    <row r="6565" spans="2:2" x14ac:dyDescent="0.25">
      <c r="B6565"/>
    </row>
    <row r="6566" spans="2:2" x14ac:dyDescent="0.25">
      <c r="B6566"/>
    </row>
    <row r="6567" spans="2:2" x14ac:dyDescent="0.25">
      <c r="B6567"/>
    </row>
    <row r="6568" spans="2:2" x14ac:dyDescent="0.25">
      <c r="B6568"/>
    </row>
    <row r="6569" spans="2:2" x14ac:dyDescent="0.25">
      <c r="B6569"/>
    </row>
    <row r="6570" spans="2:2" x14ac:dyDescent="0.25">
      <c r="B6570"/>
    </row>
    <row r="6571" spans="2:2" x14ac:dyDescent="0.25">
      <c r="B6571"/>
    </row>
    <row r="6572" spans="2:2" x14ac:dyDescent="0.25">
      <c r="B6572"/>
    </row>
    <row r="6573" spans="2:2" x14ac:dyDescent="0.25">
      <c r="B6573"/>
    </row>
    <row r="6574" spans="2:2" x14ac:dyDescent="0.25">
      <c r="B6574"/>
    </row>
    <row r="6575" spans="2:2" x14ac:dyDescent="0.25">
      <c r="B6575"/>
    </row>
    <row r="6576" spans="2:2" x14ac:dyDescent="0.25">
      <c r="B6576"/>
    </row>
    <row r="6577" spans="2:2" x14ac:dyDescent="0.25">
      <c r="B6577"/>
    </row>
    <row r="6578" spans="2:2" x14ac:dyDescent="0.25">
      <c r="B6578"/>
    </row>
    <row r="6579" spans="2:2" x14ac:dyDescent="0.25">
      <c r="B6579"/>
    </row>
    <row r="6580" spans="2:2" x14ac:dyDescent="0.25">
      <c r="B6580"/>
    </row>
    <row r="6581" spans="2:2" x14ac:dyDescent="0.25">
      <c r="B6581"/>
    </row>
    <row r="6582" spans="2:2" x14ac:dyDescent="0.25">
      <c r="B6582"/>
    </row>
    <row r="6583" spans="2:2" x14ac:dyDescent="0.25">
      <c r="B6583"/>
    </row>
    <row r="6584" spans="2:2" x14ac:dyDescent="0.25">
      <c r="B6584"/>
    </row>
    <row r="6585" spans="2:2" x14ac:dyDescent="0.25">
      <c r="B6585"/>
    </row>
    <row r="6586" spans="2:2" x14ac:dyDescent="0.25">
      <c r="B6586"/>
    </row>
    <row r="6587" spans="2:2" x14ac:dyDescent="0.25">
      <c r="B6587"/>
    </row>
    <row r="6588" spans="2:2" x14ac:dyDescent="0.25">
      <c r="B6588"/>
    </row>
    <row r="6589" spans="2:2" x14ac:dyDescent="0.25">
      <c r="B6589"/>
    </row>
    <row r="6590" spans="2:2" x14ac:dyDescent="0.25">
      <c r="B6590"/>
    </row>
    <row r="6591" spans="2:2" x14ac:dyDescent="0.25">
      <c r="B6591"/>
    </row>
    <row r="6592" spans="2:2" x14ac:dyDescent="0.25">
      <c r="B6592"/>
    </row>
    <row r="6593" spans="2:2" x14ac:dyDescent="0.25">
      <c r="B6593"/>
    </row>
    <row r="6594" spans="2:2" x14ac:dyDescent="0.25">
      <c r="B6594"/>
    </row>
    <row r="6595" spans="2:2" x14ac:dyDescent="0.25">
      <c r="B6595"/>
    </row>
    <row r="6596" spans="2:2" x14ac:dyDescent="0.25">
      <c r="B6596"/>
    </row>
    <row r="6597" spans="2:2" x14ac:dyDescent="0.25">
      <c r="B6597"/>
    </row>
    <row r="6598" spans="2:2" x14ac:dyDescent="0.25">
      <c r="B6598"/>
    </row>
    <row r="6599" spans="2:2" x14ac:dyDescent="0.25">
      <c r="B6599"/>
    </row>
    <row r="6600" spans="2:2" x14ac:dyDescent="0.25">
      <c r="B6600"/>
    </row>
    <row r="6601" spans="2:2" x14ac:dyDescent="0.25">
      <c r="B6601"/>
    </row>
    <row r="6602" spans="2:2" x14ac:dyDescent="0.25">
      <c r="B6602"/>
    </row>
    <row r="6603" spans="2:2" x14ac:dyDescent="0.25">
      <c r="B6603"/>
    </row>
    <row r="6604" spans="2:2" x14ac:dyDescent="0.25">
      <c r="B6604"/>
    </row>
    <row r="6605" spans="2:2" x14ac:dyDescent="0.25">
      <c r="B6605"/>
    </row>
    <row r="6606" spans="2:2" x14ac:dyDescent="0.25">
      <c r="B6606"/>
    </row>
    <row r="6607" spans="2:2" x14ac:dyDescent="0.25">
      <c r="B6607"/>
    </row>
    <row r="6608" spans="2:2" x14ac:dyDescent="0.25">
      <c r="B6608"/>
    </row>
    <row r="6609" spans="2:2" x14ac:dyDescent="0.25">
      <c r="B6609"/>
    </row>
    <row r="6610" spans="2:2" x14ac:dyDescent="0.25">
      <c r="B6610"/>
    </row>
    <row r="6611" spans="2:2" x14ac:dyDescent="0.25">
      <c r="B6611"/>
    </row>
    <row r="6612" spans="2:2" x14ac:dyDescent="0.25">
      <c r="B6612"/>
    </row>
    <row r="6613" spans="2:2" x14ac:dyDescent="0.25">
      <c r="B6613"/>
    </row>
    <row r="6614" spans="2:2" x14ac:dyDescent="0.25">
      <c r="B6614"/>
    </row>
    <row r="6615" spans="2:2" x14ac:dyDescent="0.25">
      <c r="B6615"/>
    </row>
    <row r="6616" spans="2:2" x14ac:dyDescent="0.25">
      <c r="B6616"/>
    </row>
    <row r="6617" spans="2:2" x14ac:dyDescent="0.25">
      <c r="B6617"/>
    </row>
    <row r="6618" spans="2:2" x14ac:dyDescent="0.25">
      <c r="B6618"/>
    </row>
    <row r="6619" spans="2:2" x14ac:dyDescent="0.25">
      <c r="B6619"/>
    </row>
    <row r="6620" spans="2:2" x14ac:dyDescent="0.25">
      <c r="B6620"/>
    </row>
    <row r="6621" spans="2:2" x14ac:dyDescent="0.25">
      <c r="B6621"/>
    </row>
    <row r="6622" spans="2:2" x14ac:dyDescent="0.25">
      <c r="B6622"/>
    </row>
    <row r="6623" spans="2:2" x14ac:dyDescent="0.25">
      <c r="B6623"/>
    </row>
    <row r="6624" spans="2:2" x14ac:dyDescent="0.25">
      <c r="B6624"/>
    </row>
    <row r="6625" spans="2:2" x14ac:dyDescent="0.25">
      <c r="B6625"/>
    </row>
    <row r="6626" spans="2:2" x14ac:dyDescent="0.25">
      <c r="B6626"/>
    </row>
    <row r="6627" spans="2:2" x14ac:dyDescent="0.25">
      <c r="B6627"/>
    </row>
    <row r="6628" spans="2:2" x14ac:dyDescent="0.25">
      <c r="B6628"/>
    </row>
    <row r="6629" spans="2:2" x14ac:dyDescent="0.25">
      <c r="B6629"/>
    </row>
    <row r="6630" spans="2:2" x14ac:dyDescent="0.25">
      <c r="B6630"/>
    </row>
    <row r="6631" spans="2:2" x14ac:dyDescent="0.25">
      <c r="B6631"/>
    </row>
    <row r="6632" spans="2:2" x14ac:dyDescent="0.25">
      <c r="B6632"/>
    </row>
    <row r="6633" spans="2:2" x14ac:dyDescent="0.25">
      <c r="B6633"/>
    </row>
    <row r="6634" spans="2:2" x14ac:dyDescent="0.25">
      <c r="B6634"/>
    </row>
    <row r="6635" spans="2:2" x14ac:dyDescent="0.25">
      <c r="B6635"/>
    </row>
    <row r="6636" spans="2:2" x14ac:dyDescent="0.25">
      <c r="B6636"/>
    </row>
    <row r="6637" spans="2:2" x14ac:dyDescent="0.25">
      <c r="B6637"/>
    </row>
    <row r="6638" spans="2:2" x14ac:dyDescent="0.25">
      <c r="B6638"/>
    </row>
    <row r="6639" spans="2:2" x14ac:dyDescent="0.25">
      <c r="B6639"/>
    </row>
    <row r="6640" spans="2:2" x14ac:dyDescent="0.25">
      <c r="B6640"/>
    </row>
    <row r="6641" spans="2:2" x14ac:dyDescent="0.25">
      <c r="B6641"/>
    </row>
    <row r="6642" spans="2:2" x14ac:dyDescent="0.25">
      <c r="B6642"/>
    </row>
    <row r="6643" spans="2:2" x14ac:dyDescent="0.25">
      <c r="B6643"/>
    </row>
    <row r="6644" spans="2:2" x14ac:dyDescent="0.25">
      <c r="B6644"/>
    </row>
    <row r="6645" spans="2:2" x14ac:dyDescent="0.25">
      <c r="B6645"/>
    </row>
    <row r="6646" spans="2:2" x14ac:dyDescent="0.25">
      <c r="B6646"/>
    </row>
    <row r="6647" spans="2:2" x14ac:dyDescent="0.25">
      <c r="B6647"/>
    </row>
    <row r="6648" spans="2:2" x14ac:dyDescent="0.25">
      <c r="B6648"/>
    </row>
    <row r="6649" spans="2:2" x14ac:dyDescent="0.25">
      <c r="B6649"/>
    </row>
    <row r="6650" spans="2:2" x14ac:dyDescent="0.25">
      <c r="B6650"/>
    </row>
    <row r="6651" spans="2:2" x14ac:dyDescent="0.25">
      <c r="B6651"/>
    </row>
    <row r="6652" spans="2:2" x14ac:dyDescent="0.25">
      <c r="B6652"/>
    </row>
    <row r="6653" spans="2:2" x14ac:dyDescent="0.25">
      <c r="B6653"/>
    </row>
    <row r="6654" spans="2:2" x14ac:dyDescent="0.25">
      <c r="B6654"/>
    </row>
    <row r="6655" spans="2:2" x14ac:dyDescent="0.25">
      <c r="B6655"/>
    </row>
    <row r="6656" spans="2:2" x14ac:dyDescent="0.25">
      <c r="B6656"/>
    </row>
    <row r="6657" spans="2:2" x14ac:dyDescent="0.25">
      <c r="B6657"/>
    </row>
    <row r="6658" spans="2:2" x14ac:dyDescent="0.25">
      <c r="B6658"/>
    </row>
    <row r="6659" spans="2:2" x14ac:dyDescent="0.25">
      <c r="B6659"/>
    </row>
    <row r="6660" spans="2:2" x14ac:dyDescent="0.25">
      <c r="B6660"/>
    </row>
    <row r="6661" spans="2:2" x14ac:dyDescent="0.25">
      <c r="B6661"/>
    </row>
    <row r="6662" spans="2:2" x14ac:dyDescent="0.25">
      <c r="B6662"/>
    </row>
    <row r="6663" spans="2:2" x14ac:dyDescent="0.25">
      <c r="B6663"/>
    </row>
    <row r="6664" spans="2:2" x14ac:dyDescent="0.25">
      <c r="B6664"/>
    </row>
    <row r="6665" spans="2:2" x14ac:dyDescent="0.25">
      <c r="B6665"/>
    </row>
    <row r="6666" spans="2:2" x14ac:dyDescent="0.25">
      <c r="B6666"/>
    </row>
    <row r="6667" spans="2:2" x14ac:dyDescent="0.25">
      <c r="B6667"/>
    </row>
    <row r="6668" spans="2:2" x14ac:dyDescent="0.25">
      <c r="B6668"/>
    </row>
    <row r="6669" spans="2:2" x14ac:dyDescent="0.25">
      <c r="B6669"/>
    </row>
    <row r="6670" spans="2:2" x14ac:dyDescent="0.25">
      <c r="B6670"/>
    </row>
    <row r="6671" spans="2:2" x14ac:dyDescent="0.25">
      <c r="B6671"/>
    </row>
    <row r="6672" spans="2:2" x14ac:dyDescent="0.25">
      <c r="B6672"/>
    </row>
    <row r="6673" spans="2:2" x14ac:dyDescent="0.25">
      <c r="B6673"/>
    </row>
    <row r="6674" spans="2:2" x14ac:dyDescent="0.25">
      <c r="B6674"/>
    </row>
    <row r="6675" spans="2:2" x14ac:dyDescent="0.25">
      <c r="B6675"/>
    </row>
    <row r="6676" spans="2:2" x14ac:dyDescent="0.25">
      <c r="B6676"/>
    </row>
    <row r="6677" spans="2:2" x14ac:dyDescent="0.25">
      <c r="B6677"/>
    </row>
    <row r="6678" spans="2:2" x14ac:dyDescent="0.25">
      <c r="B6678"/>
    </row>
    <row r="6679" spans="2:2" x14ac:dyDescent="0.25">
      <c r="B6679"/>
    </row>
    <row r="6680" spans="2:2" x14ac:dyDescent="0.25">
      <c r="B6680"/>
    </row>
    <row r="6681" spans="2:2" x14ac:dyDescent="0.25">
      <c r="B6681"/>
    </row>
    <row r="6682" spans="2:2" x14ac:dyDescent="0.25">
      <c r="B6682"/>
    </row>
    <row r="6683" spans="2:2" x14ac:dyDescent="0.25">
      <c r="B6683"/>
    </row>
    <row r="6684" spans="2:2" x14ac:dyDescent="0.25">
      <c r="B6684"/>
    </row>
    <row r="6685" spans="2:2" x14ac:dyDescent="0.25">
      <c r="B6685"/>
    </row>
    <row r="6686" spans="2:2" x14ac:dyDescent="0.25">
      <c r="B6686"/>
    </row>
    <row r="6687" spans="2:2" x14ac:dyDescent="0.25">
      <c r="B6687"/>
    </row>
    <row r="6688" spans="2:2" x14ac:dyDescent="0.25">
      <c r="B6688"/>
    </row>
    <row r="6689" spans="2:2" x14ac:dyDescent="0.25">
      <c r="B6689"/>
    </row>
    <row r="6690" spans="2:2" x14ac:dyDescent="0.25">
      <c r="B6690"/>
    </row>
    <row r="6691" spans="2:2" x14ac:dyDescent="0.25">
      <c r="B6691"/>
    </row>
    <row r="6692" spans="2:2" x14ac:dyDescent="0.25">
      <c r="B6692"/>
    </row>
    <row r="6693" spans="2:2" x14ac:dyDescent="0.25">
      <c r="B6693"/>
    </row>
    <row r="6694" spans="2:2" x14ac:dyDescent="0.25">
      <c r="B6694"/>
    </row>
    <row r="6695" spans="2:2" x14ac:dyDescent="0.25">
      <c r="B6695"/>
    </row>
    <row r="6696" spans="2:2" x14ac:dyDescent="0.25">
      <c r="B6696"/>
    </row>
    <row r="6697" spans="2:2" x14ac:dyDescent="0.25">
      <c r="B6697"/>
    </row>
    <row r="6698" spans="2:2" x14ac:dyDescent="0.25">
      <c r="B6698"/>
    </row>
    <row r="6699" spans="2:2" x14ac:dyDescent="0.25">
      <c r="B6699"/>
    </row>
    <row r="6700" spans="2:2" x14ac:dyDescent="0.25">
      <c r="B6700"/>
    </row>
    <row r="6701" spans="2:2" x14ac:dyDescent="0.25">
      <c r="B6701"/>
    </row>
    <row r="6702" spans="2:2" x14ac:dyDescent="0.25">
      <c r="B6702"/>
    </row>
    <row r="6703" spans="2:2" x14ac:dyDescent="0.25">
      <c r="B6703"/>
    </row>
    <row r="6704" spans="2:2" x14ac:dyDescent="0.25">
      <c r="B6704"/>
    </row>
    <row r="6705" spans="2:2" x14ac:dyDescent="0.25">
      <c r="B6705"/>
    </row>
    <row r="6706" spans="2:2" x14ac:dyDescent="0.25">
      <c r="B6706"/>
    </row>
    <row r="6707" spans="2:2" x14ac:dyDescent="0.25">
      <c r="B6707"/>
    </row>
    <row r="6708" spans="2:2" x14ac:dyDescent="0.25">
      <c r="B6708"/>
    </row>
    <row r="6709" spans="2:2" x14ac:dyDescent="0.25">
      <c r="B6709"/>
    </row>
    <row r="6710" spans="2:2" x14ac:dyDescent="0.25">
      <c r="B6710"/>
    </row>
    <row r="6711" spans="2:2" x14ac:dyDescent="0.25">
      <c r="B6711"/>
    </row>
    <row r="6712" spans="2:2" x14ac:dyDescent="0.25">
      <c r="B6712"/>
    </row>
    <row r="6713" spans="2:2" x14ac:dyDescent="0.25">
      <c r="B6713"/>
    </row>
    <row r="6714" spans="2:2" x14ac:dyDescent="0.25">
      <c r="B6714"/>
    </row>
    <row r="6715" spans="2:2" x14ac:dyDescent="0.25">
      <c r="B6715"/>
    </row>
    <row r="6716" spans="2:2" x14ac:dyDescent="0.25">
      <c r="B6716"/>
    </row>
    <row r="6717" spans="2:2" x14ac:dyDescent="0.25">
      <c r="B6717"/>
    </row>
    <row r="6718" spans="2:2" x14ac:dyDescent="0.25">
      <c r="B6718"/>
    </row>
    <row r="6719" spans="2:2" x14ac:dyDescent="0.25">
      <c r="B6719"/>
    </row>
    <row r="6720" spans="2:2" x14ac:dyDescent="0.25">
      <c r="B6720"/>
    </row>
    <row r="6721" spans="2:2" x14ac:dyDescent="0.25">
      <c r="B6721"/>
    </row>
    <row r="6722" spans="2:2" x14ac:dyDescent="0.25">
      <c r="B6722"/>
    </row>
    <row r="6723" spans="2:2" x14ac:dyDescent="0.25">
      <c r="B6723"/>
    </row>
    <row r="6724" spans="2:2" x14ac:dyDescent="0.25">
      <c r="B6724"/>
    </row>
    <row r="6725" spans="2:2" x14ac:dyDescent="0.25">
      <c r="B6725"/>
    </row>
    <row r="6726" spans="2:2" x14ac:dyDescent="0.25">
      <c r="B6726"/>
    </row>
    <row r="6727" spans="2:2" x14ac:dyDescent="0.25">
      <c r="B6727"/>
    </row>
    <row r="6728" spans="2:2" x14ac:dyDescent="0.25">
      <c r="B6728"/>
    </row>
    <row r="6729" spans="2:2" x14ac:dyDescent="0.25">
      <c r="B6729"/>
    </row>
    <row r="6730" spans="2:2" x14ac:dyDescent="0.25">
      <c r="B6730"/>
    </row>
    <row r="6731" spans="2:2" x14ac:dyDescent="0.25">
      <c r="B6731"/>
    </row>
    <row r="6732" spans="2:2" x14ac:dyDescent="0.25">
      <c r="B6732"/>
    </row>
    <row r="6733" spans="2:2" x14ac:dyDescent="0.25">
      <c r="B6733"/>
    </row>
    <row r="6734" spans="2:2" x14ac:dyDescent="0.25">
      <c r="B6734"/>
    </row>
    <row r="6735" spans="2:2" x14ac:dyDescent="0.25">
      <c r="B6735"/>
    </row>
    <row r="6736" spans="2:2" x14ac:dyDescent="0.25">
      <c r="B6736"/>
    </row>
    <row r="6737" spans="2:2" x14ac:dyDescent="0.25">
      <c r="B6737"/>
    </row>
    <row r="6738" spans="2:2" x14ac:dyDescent="0.25">
      <c r="B6738"/>
    </row>
    <row r="6739" spans="2:2" x14ac:dyDescent="0.25">
      <c r="B6739"/>
    </row>
    <row r="6740" spans="2:2" x14ac:dyDescent="0.25">
      <c r="B6740"/>
    </row>
    <row r="6741" spans="2:2" x14ac:dyDescent="0.25">
      <c r="B6741"/>
    </row>
    <row r="6742" spans="2:2" x14ac:dyDescent="0.25">
      <c r="B6742"/>
    </row>
    <row r="6743" spans="2:2" x14ac:dyDescent="0.25">
      <c r="B6743"/>
    </row>
    <row r="6744" spans="2:2" x14ac:dyDescent="0.25">
      <c r="B6744"/>
    </row>
    <row r="6745" spans="2:2" x14ac:dyDescent="0.25">
      <c r="B6745"/>
    </row>
    <row r="6746" spans="2:2" x14ac:dyDescent="0.25">
      <c r="B6746"/>
    </row>
    <row r="6747" spans="2:2" x14ac:dyDescent="0.25">
      <c r="B6747"/>
    </row>
    <row r="6748" spans="2:2" x14ac:dyDescent="0.25">
      <c r="B6748"/>
    </row>
    <row r="6749" spans="2:2" x14ac:dyDescent="0.25">
      <c r="B6749"/>
    </row>
    <row r="6750" spans="2:2" x14ac:dyDescent="0.25">
      <c r="B6750"/>
    </row>
    <row r="6751" spans="2:2" x14ac:dyDescent="0.25">
      <c r="B6751"/>
    </row>
    <row r="6752" spans="2:2" x14ac:dyDescent="0.25">
      <c r="B6752"/>
    </row>
    <row r="6753" spans="2:2" x14ac:dyDescent="0.25">
      <c r="B6753"/>
    </row>
    <row r="6754" spans="2:2" x14ac:dyDescent="0.25">
      <c r="B6754"/>
    </row>
    <row r="6755" spans="2:2" x14ac:dyDescent="0.25">
      <c r="B6755"/>
    </row>
    <row r="6756" spans="2:2" x14ac:dyDescent="0.25">
      <c r="B6756"/>
    </row>
    <row r="6757" spans="2:2" x14ac:dyDescent="0.25">
      <c r="B6757"/>
    </row>
    <row r="6758" spans="2:2" x14ac:dyDescent="0.25">
      <c r="B6758"/>
    </row>
    <row r="6759" spans="2:2" x14ac:dyDescent="0.25">
      <c r="B6759"/>
    </row>
    <row r="6760" spans="2:2" x14ac:dyDescent="0.25">
      <c r="B6760"/>
    </row>
    <row r="6761" spans="2:2" x14ac:dyDescent="0.25">
      <c r="B6761"/>
    </row>
    <row r="6762" spans="2:2" x14ac:dyDescent="0.25">
      <c r="B6762"/>
    </row>
    <row r="6763" spans="2:2" x14ac:dyDescent="0.25">
      <c r="B6763"/>
    </row>
    <row r="6764" spans="2:2" x14ac:dyDescent="0.25">
      <c r="B6764"/>
    </row>
    <row r="6765" spans="2:2" x14ac:dyDescent="0.25">
      <c r="B6765"/>
    </row>
    <row r="6766" spans="2:2" x14ac:dyDescent="0.25">
      <c r="B6766"/>
    </row>
    <row r="6767" spans="2:2" x14ac:dyDescent="0.25">
      <c r="B6767"/>
    </row>
    <row r="6768" spans="2:2" x14ac:dyDescent="0.25">
      <c r="B6768"/>
    </row>
    <row r="6769" spans="2:2" x14ac:dyDescent="0.25">
      <c r="B6769"/>
    </row>
    <row r="6770" spans="2:2" x14ac:dyDescent="0.25">
      <c r="B6770"/>
    </row>
    <row r="6771" spans="2:2" x14ac:dyDescent="0.25">
      <c r="B6771"/>
    </row>
    <row r="6772" spans="2:2" x14ac:dyDescent="0.25">
      <c r="B6772"/>
    </row>
    <row r="6773" spans="2:2" x14ac:dyDescent="0.25">
      <c r="B6773"/>
    </row>
    <row r="6774" spans="2:2" x14ac:dyDescent="0.25">
      <c r="B6774"/>
    </row>
    <row r="6775" spans="2:2" x14ac:dyDescent="0.25">
      <c r="B6775"/>
    </row>
    <row r="6776" spans="2:2" x14ac:dyDescent="0.25">
      <c r="B6776"/>
    </row>
    <row r="6777" spans="2:2" x14ac:dyDescent="0.25">
      <c r="B6777"/>
    </row>
    <row r="6778" spans="2:2" x14ac:dyDescent="0.25">
      <c r="B6778"/>
    </row>
    <row r="6779" spans="2:2" x14ac:dyDescent="0.25">
      <c r="B6779"/>
    </row>
    <row r="6780" spans="2:2" x14ac:dyDescent="0.25">
      <c r="B6780"/>
    </row>
    <row r="6781" spans="2:2" x14ac:dyDescent="0.25">
      <c r="B6781"/>
    </row>
    <row r="6782" spans="2:2" x14ac:dyDescent="0.25">
      <c r="B6782"/>
    </row>
    <row r="6783" spans="2:2" x14ac:dyDescent="0.25">
      <c r="B6783"/>
    </row>
    <row r="6784" spans="2:2" x14ac:dyDescent="0.25">
      <c r="B6784"/>
    </row>
    <row r="6785" spans="2:2" x14ac:dyDescent="0.25">
      <c r="B6785"/>
    </row>
    <row r="6786" spans="2:2" x14ac:dyDescent="0.25">
      <c r="B6786"/>
    </row>
    <row r="6787" spans="2:2" x14ac:dyDescent="0.25">
      <c r="B6787"/>
    </row>
    <row r="6788" spans="2:2" x14ac:dyDescent="0.25">
      <c r="B6788"/>
    </row>
    <row r="6789" spans="2:2" x14ac:dyDescent="0.25">
      <c r="B6789"/>
    </row>
    <row r="6790" spans="2:2" x14ac:dyDescent="0.25">
      <c r="B6790"/>
    </row>
    <row r="6791" spans="2:2" x14ac:dyDescent="0.25">
      <c r="B6791"/>
    </row>
    <row r="6792" spans="2:2" x14ac:dyDescent="0.25">
      <c r="B6792"/>
    </row>
    <row r="6793" spans="2:2" x14ac:dyDescent="0.25">
      <c r="B6793"/>
    </row>
    <row r="6794" spans="2:2" x14ac:dyDescent="0.25">
      <c r="B6794"/>
    </row>
    <row r="6795" spans="2:2" x14ac:dyDescent="0.25">
      <c r="B6795"/>
    </row>
    <row r="6796" spans="2:2" x14ac:dyDescent="0.25">
      <c r="B6796"/>
    </row>
    <row r="6797" spans="2:2" x14ac:dyDescent="0.25">
      <c r="B6797"/>
    </row>
    <row r="6798" spans="2:2" x14ac:dyDescent="0.25">
      <c r="B6798"/>
    </row>
    <row r="6799" spans="2:2" x14ac:dyDescent="0.25">
      <c r="B6799"/>
    </row>
    <row r="6800" spans="2:2" x14ac:dyDescent="0.25">
      <c r="B6800"/>
    </row>
    <row r="6801" spans="2:2" x14ac:dyDescent="0.25">
      <c r="B6801"/>
    </row>
    <row r="6802" spans="2:2" x14ac:dyDescent="0.25">
      <c r="B6802"/>
    </row>
    <row r="6803" spans="2:2" x14ac:dyDescent="0.25">
      <c r="B6803"/>
    </row>
    <row r="6804" spans="2:2" x14ac:dyDescent="0.25">
      <c r="B6804"/>
    </row>
    <row r="6805" spans="2:2" x14ac:dyDescent="0.25">
      <c r="B6805"/>
    </row>
    <row r="6806" spans="2:2" x14ac:dyDescent="0.25">
      <c r="B6806"/>
    </row>
    <row r="6807" spans="2:2" x14ac:dyDescent="0.25">
      <c r="B6807"/>
    </row>
    <row r="6808" spans="2:2" x14ac:dyDescent="0.25">
      <c r="B6808"/>
    </row>
    <row r="6809" spans="2:2" x14ac:dyDescent="0.25">
      <c r="B6809"/>
    </row>
    <row r="6810" spans="2:2" x14ac:dyDescent="0.25">
      <c r="B6810"/>
    </row>
    <row r="6811" spans="2:2" x14ac:dyDescent="0.25">
      <c r="B6811"/>
    </row>
    <row r="6812" spans="2:2" x14ac:dyDescent="0.25">
      <c r="B6812"/>
    </row>
    <row r="6813" spans="2:2" x14ac:dyDescent="0.25">
      <c r="B6813"/>
    </row>
    <row r="6814" spans="2:2" x14ac:dyDescent="0.25">
      <c r="B6814"/>
    </row>
    <row r="6815" spans="2:2" x14ac:dyDescent="0.25">
      <c r="B6815"/>
    </row>
    <row r="6816" spans="2:2" x14ac:dyDescent="0.25">
      <c r="B6816"/>
    </row>
    <row r="6817" spans="2:2" x14ac:dyDescent="0.25">
      <c r="B6817"/>
    </row>
    <row r="6818" spans="2:2" x14ac:dyDescent="0.25">
      <c r="B6818"/>
    </row>
    <row r="6819" spans="2:2" x14ac:dyDescent="0.25">
      <c r="B6819"/>
    </row>
    <row r="6820" spans="2:2" x14ac:dyDescent="0.25">
      <c r="B6820"/>
    </row>
    <row r="6821" spans="2:2" x14ac:dyDescent="0.25">
      <c r="B6821"/>
    </row>
    <row r="6822" spans="2:2" x14ac:dyDescent="0.25">
      <c r="B6822"/>
    </row>
    <row r="6823" spans="2:2" x14ac:dyDescent="0.25">
      <c r="B6823"/>
    </row>
    <row r="6824" spans="2:2" x14ac:dyDescent="0.25">
      <c r="B6824"/>
    </row>
    <row r="6825" spans="2:2" x14ac:dyDescent="0.25">
      <c r="B6825"/>
    </row>
    <row r="6826" spans="2:2" x14ac:dyDescent="0.25">
      <c r="B6826"/>
    </row>
    <row r="6827" spans="2:2" x14ac:dyDescent="0.25">
      <c r="B6827"/>
    </row>
    <row r="6828" spans="2:2" x14ac:dyDescent="0.25">
      <c r="B6828"/>
    </row>
    <row r="6829" spans="2:2" x14ac:dyDescent="0.25">
      <c r="B6829"/>
    </row>
    <row r="6830" spans="2:2" x14ac:dyDescent="0.25">
      <c r="B6830"/>
    </row>
    <row r="6831" spans="2:2" x14ac:dyDescent="0.25">
      <c r="B6831"/>
    </row>
    <row r="6832" spans="2:2" x14ac:dyDescent="0.25">
      <c r="B6832"/>
    </row>
    <row r="6833" spans="2:2" x14ac:dyDescent="0.25">
      <c r="B6833"/>
    </row>
    <row r="6834" spans="2:2" x14ac:dyDescent="0.25">
      <c r="B6834"/>
    </row>
    <row r="6835" spans="2:2" x14ac:dyDescent="0.25">
      <c r="B6835"/>
    </row>
    <row r="6836" spans="2:2" x14ac:dyDescent="0.25">
      <c r="B6836"/>
    </row>
    <row r="6837" spans="2:2" x14ac:dyDescent="0.25">
      <c r="B6837"/>
    </row>
    <row r="6838" spans="2:2" x14ac:dyDescent="0.25">
      <c r="B6838"/>
    </row>
    <row r="6839" spans="2:2" x14ac:dyDescent="0.25">
      <c r="B6839"/>
    </row>
    <row r="6840" spans="2:2" x14ac:dyDescent="0.25">
      <c r="B6840"/>
    </row>
    <row r="6841" spans="2:2" x14ac:dyDescent="0.25">
      <c r="B6841"/>
    </row>
    <row r="6842" spans="2:2" x14ac:dyDescent="0.25">
      <c r="B6842"/>
    </row>
    <row r="6843" spans="2:2" x14ac:dyDescent="0.25">
      <c r="B6843"/>
    </row>
    <row r="6844" spans="2:2" x14ac:dyDescent="0.25">
      <c r="B6844"/>
    </row>
    <row r="6845" spans="2:2" x14ac:dyDescent="0.25">
      <c r="B6845"/>
    </row>
    <row r="6846" spans="2:2" x14ac:dyDescent="0.25">
      <c r="B6846"/>
    </row>
    <row r="6847" spans="2:2" x14ac:dyDescent="0.25">
      <c r="B6847"/>
    </row>
    <row r="6848" spans="2:2" x14ac:dyDescent="0.25">
      <c r="B6848"/>
    </row>
    <row r="6849" spans="2:2" x14ac:dyDescent="0.25">
      <c r="B6849"/>
    </row>
    <row r="6850" spans="2:2" x14ac:dyDescent="0.25">
      <c r="B6850"/>
    </row>
    <row r="6851" spans="2:2" x14ac:dyDescent="0.25">
      <c r="B6851"/>
    </row>
    <row r="6852" spans="2:2" x14ac:dyDescent="0.25">
      <c r="B6852"/>
    </row>
    <row r="6853" spans="2:2" x14ac:dyDescent="0.25">
      <c r="B6853"/>
    </row>
    <row r="6854" spans="2:2" x14ac:dyDescent="0.25">
      <c r="B6854"/>
    </row>
    <row r="6855" spans="2:2" x14ac:dyDescent="0.25">
      <c r="B6855"/>
    </row>
    <row r="6856" spans="2:2" x14ac:dyDescent="0.25">
      <c r="B6856"/>
    </row>
    <row r="6857" spans="2:2" x14ac:dyDescent="0.25">
      <c r="B6857"/>
    </row>
    <row r="6858" spans="2:2" x14ac:dyDescent="0.25">
      <c r="B6858"/>
    </row>
    <row r="6859" spans="2:2" x14ac:dyDescent="0.25">
      <c r="B6859"/>
    </row>
    <row r="6860" spans="2:2" x14ac:dyDescent="0.25">
      <c r="B6860"/>
    </row>
    <row r="6861" spans="2:2" x14ac:dyDescent="0.25">
      <c r="B6861"/>
    </row>
    <row r="6862" spans="2:2" x14ac:dyDescent="0.25">
      <c r="B6862"/>
    </row>
    <row r="6863" spans="2:2" x14ac:dyDescent="0.25">
      <c r="B6863"/>
    </row>
    <row r="6864" spans="2:2" x14ac:dyDescent="0.25">
      <c r="B6864"/>
    </row>
    <row r="6865" spans="2:2" x14ac:dyDescent="0.25">
      <c r="B6865"/>
    </row>
    <row r="6866" spans="2:2" x14ac:dyDescent="0.25">
      <c r="B6866"/>
    </row>
    <row r="6867" spans="2:2" x14ac:dyDescent="0.25">
      <c r="B6867"/>
    </row>
    <row r="6868" spans="2:2" x14ac:dyDescent="0.25">
      <c r="B6868"/>
    </row>
    <row r="6869" spans="2:2" x14ac:dyDescent="0.25">
      <c r="B6869"/>
    </row>
    <row r="6870" spans="2:2" x14ac:dyDescent="0.25">
      <c r="B6870"/>
    </row>
    <row r="6871" spans="2:2" x14ac:dyDescent="0.25">
      <c r="B6871"/>
    </row>
    <row r="6872" spans="2:2" x14ac:dyDescent="0.25">
      <c r="B6872"/>
    </row>
    <row r="6873" spans="2:2" x14ac:dyDescent="0.25">
      <c r="B6873"/>
    </row>
    <row r="6874" spans="2:2" x14ac:dyDescent="0.25">
      <c r="B6874"/>
    </row>
    <row r="6875" spans="2:2" x14ac:dyDescent="0.25">
      <c r="B6875"/>
    </row>
    <row r="6876" spans="2:2" x14ac:dyDescent="0.25">
      <c r="B6876"/>
    </row>
    <row r="6877" spans="2:2" x14ac:dyDescent="0.25">
      <c r="B6877"/>
    </row>
    <row r="6878" spans="2:2" x14ac:dyDescent="0.25">
      <c r="B6878"/>
    </row>
    <row r="6879" spans="2:2" x14ac:dyDescent="0.25">
      <c r="B6879"/>
    </row>
    <row r="6880" spans="2:2" x14ac:dyDescent="0.25">
      <c r="B6880"/>
    </row>
    <row r="6881" spans="2:2" x14ac:dyDescent="0.25">
      <c r="B6881"/>
    </row>
    <row r="6882" spans="2:2" x14ac:dyDescent="0.25">
      <c r="B6882"/>
    </row>
    <row r="6883" spans="2:2" x14ac:dyDescent="0.25">
      <c r="B6883"/>
    </row>
    <row r="6884" spans="2:2" x14ac:dyDescent="0.25">
      <c r="B6884"/>
    </row>
    <row r="6885" spans="2:2" x14ac:dyDescent="0.25">
      <c r="B6885"/>
    </row>
    <row r="6886" spans="2:2" x14ac:dyDescent="0.25">
      <c r="B6886"/>
    </row>
    <row r="6887" spans="2:2" x14ac:dyDescent="0.25">
      <c r="B6887"/>
    </row>
    <row r="6888" spans="2:2" x14ac:dyDescent="0.25">
      <c r="B6888"/>
    </row>
    <row r="6889" spans="2:2" x14ac:dyDescent="0.25">
      <c r="B6889"/>
    </row>
    <row r="6890" spans="2:2" x14ac:dyDescent="0.25">
      <c r="B6890"/>
    </row>
    <row r="6891" spans="2:2" x14ac:dyDescent="0.25">
      <c r="B6891"/>
    </row>
    <row r="6892" spans="2:2" x14ac:dyDescent="0.25">
      <c r="B6892"/>
    </row>
    <row r="6893" spans="2:2" x14ac:dyDescent="0.25">
      <c r="B6893"/>
    </row>
    <row r="6894" spans="2:2" x14ac:dyDescent="0.25">
      <c r="B6894"/>
    </row>
    <row r="6895" spans="2:2" x14ac:dyDescent="0.25">
      <c r="B6895"/>
    </row>
    <row r="6896" spans="2:2" x14ac:dyDescent="0.25">
      <c r="B6896"/>
    </row>
    <row r="6897" spans="2:2" x14ac:dyDescent="0.25">
      <c r="B6897"/>
    </row>
    <row r="6898" spans="2:2" x14ac:dyDescent="0.25">
      <c r="B6898"/>
    </row>
    <row r="6899" spans="2:2" x14ac:dyDescent="0.25">
      <c r="B6899"/>
    </row>
    <row r="6900" spans="2:2" x14ac:dyDescent="0.25">
      <c r="B6900"/>
    </row>
    <row r="6901" spans="2:2" x14ac:dyDescent="0.25">
      <c r="B6901"/>
    </row>
    <row r="6902" spans="2:2" x14ac:dyDescent="0.25">
      <c r="B6902"/>
    </row>
    <row r="6903" spans="2:2" x14ac:dyDescent="0.25">
      <c r="B6903"/>
    </row>
    <row r="6904" spans="2:2" x14ac:dyDescent="0.25">
      <c r="B6904"/>
    </row>
    <row r="6905" spans="2:2" x14ac:dyDescent="0.25">
      <c r="B6905"/>
    </row>
    <row r="6906" spans="2:2" x14ac:dyDescent="0.25">
      <c r="B6906"/>
    </row>
    <row r="6907" spans="2:2" x14ac:dyDescent="0.25">
      <c r="B6907"/>
    </row>
    <row r="6908" spans="2:2" x14ac:dyDescent="0.25">
      <c r="B6908"/>
    </row>
    <row r="6909" spans="2:2" x14ac:dyDescent="0.25">
      <c r="B6909"/>
    </row>
    <row r="6910" spans="2:2" x14ac:dyDescent="0.25">
      <c r="B6910"/>
    </row>
    <row r="6911" spans="2:2" x14ac:dyDescent="0.25">
      <c r="B6911"/>
    </row>
    <row r="6912" spans="2:2" x14ac:dyDescent="0.25">
      <c r="B6912"/>
    </row>
    <row r="6913" spans="2:2" x14ac:dyDescent="0.25">
      <c r="B6913"/>
    </row>
    <row r="6914" spans="2:2" x14ac:dyDescent="0.25">
      <c r="B6914"/>
    </row>
    <row r="6915" spans="2:2" x14ac:dyDescent="0.25">
      <c r="B6915"/>
    </row>
    <row r="6916" spans="2:2" x14ac:dyDescent="0.25">
      <c r="B6916"/>
    </row>
    <row r="6917" spans="2:2" x14ac:dyDescent="0.25">
      <c r="B6917"/>
    </row>
    <row r="6918" spans="2:2" x14ac:dyDescent="0.25">
      <c r="B6918"/>
    </row>
    <row r="6919" spans="2:2" x14ac:dyDescent="0.25">
      <c r="B6919"/>
    </row>
    <row r="6920" spans="2:2" x14ac:dyDescent="0.25">
      <c r="B6920"/>
    </row>
    <row r="6921" spans="2:2" x14ac:dyDescent="0.25">
      <c r="B6921"/>
    </row>
    <row r="6922" spans="2:2" x14ac:dyDescent="0.25">
      <c r="B6922"/>
    </row>
    <row r="6923" spans="2:2" x14ac:dyDescent="0.25">
      <c r="B6923"/>
    </row>
    <row r="6924" spans="2:2" x14ac:dyDescent="0.25">
      <c r="B6924"/>
    </row>
    <row r="6925" spans="2:2" x14ac:dyDescent="0.25">
      <c r="B6925"/>
    </row>
    <row r="6926" spans="2:2" x14ac:dyDescent="0.25">
      <c r="B6926"/>
    </row>
    <row r="6927" spans="2:2" x14ac:dyDescent="0.25">
      <c r="B6927"/>
    </row>
    <row r="6928" spans="2:2" x14ac:dyDescent="0.25">
      <c r="B6928"/>
    </row>
    <row r="6929" spans="2:2" x14ac:dyDescent="0.25">
      <c r="B6929"/>
    </row>
    <row r="6930" spans="2:2" x14ac:dyDescent="0.25">
      <c r="B6930"/>
    </row>
    <row r="6931" spans="2:2" x14ac:dyDescent="0.25">
      <c r="B6931"/>
    </row>
    <row r="6932" spans="2:2" x14ac:dyDescent="0.25">
      <c r="B6932"/>
    </row>
    <row r="6933" spans="2:2" x14ac:dyDescent="0.25">
      <c r="B6933"/>
    </row>
    <row r="6934" spans="2:2" x14ac:dyDescent="0.25">
      <c r="B6934"/>
    </row>
    <row r="6935" spans="2:2" x14ac:dyDescent="0.25">
      <c r="B6935"/>
    </row>
    <row r="6936" spans="2:2" x14ac:dyDescent="0.25">
      <c r="B6936"/>
    </row>
    <row r="6937" spans="2:2" x14ac:dyDescent="0.25">
      <c r="B6937"/>
    </row>
    <row r="6938" spans="2:2" x14ac:dyDescent="0.25">
      <c r="B6938"/>
    </row>
    <row r="6939" spans="2:2" x14ac:dyDescent="0.25">
      <c r="B6939"/>
    </row>
    <row r="6940" spans="2:2" x14ac:dyDescent="0.25">
      <c r="B6940"/>
    </row>
    <row r="6941" spans="2:2" x14ac:dyDescent="0.25">
      <c r="B6941"/>
    </row>
    <row r="6942" spans="2:2" x14ac:dyDescent="0.25">
      <c r="B6942"/>
    </row>
    <row r="6943" spans="2:2" x14ac:dyDescent="0.25">
      <c r="B6943"/>
    </row>
    <row r="6944" spans="2:2" x14ac:dyDescent="0.25">
      <c r="B6944"/>
    </row>
    <row r="6945" spans="2:2" x14ac:dyDescent="0.25">
      <c r="B6945"/>
    </row>
    <row r="6946" spans="2:2" x14ac:dyDescent="0.25">
      <c r="B6946"/>
    </row>
    <row r="6947" spans="2:2" x14ac:dyDescent="0.25">
      <c r="B6947"/>
    </row>
    <row r="6948" spans="2:2" x14ac:dyDescent="0.25">
      <c r="B6948"/>
    </row>
    <row r="6949" spans="2:2" x14ac:dyDescent="0.25">
      <c r="B6949"/>
    </row>
    <row r="6950" spans="2:2" x14ac:dyDescent="0.25">
      <c r="B6950"/>
    </row>
    <row r="6951" spans="2:2" x14ac:dyDescent="0.25">
      <c r="B6951"/>
    </row>
    <row r="6952" spans="2:2" x14ac:dyDescent="0.25">
      <c r="B6952"/>
    </row>
    <row r="6953" spans="2:2" x14ac:dyDescent="0.25">
      <c r="B6953"/>
    </row>
    <row r="6954" spans="2:2" x14ac:dyDescent="0.25">
      <c r="B6954"/>
    </row>
    <row r="6955" spans="2:2" x14ac:dyDescent="0.25">
      <c r="B6955"/>
    </row>
    <row r="6956" spans="2:2" x14ac:dyDescent="0.25">
      <c r="B6956"/>
    </row>
    <row r="6957" spans="2:2" x14ac:dyDescent="0.25">
      <c r="B6957"/>
    </row>
    <row r="6958" spans="2:2" x14ac:dyDescent="0.25">
      <c r="B6958"/>
    </row>
    <row r="6959" spans="2:2" x14ac:dyDescent="0.25">
      <c r="B6959"/>
    </row>
    <row r="6960" spans="2:2" x14ac:dyDescent="0.25">
      <c r="B6960"/>
    </row>
    <row r="6961" spans="2:2" x14ac:dyDescent="0.25">
      <c r="B6961"/>
    </row>
    <row r="6962" spans="2:2" x14ac:dyDescent="0.25">
      <c r="B6962"/>
    </row>
    <row r="6963" spans="2:2" x14ac:dyDescent="0.25">
      <c r="B6963"/>
    </row>
    <row r="6964" spans="2:2" x14ac:dyDescent="0.25">
      <c r="B6964"/>
    </row>
    <row r="6965" spans="2:2" x14ac:dyDescent="0.25">
      <c r="B6965"/>
    </row>
    <row r="6966" spans="2:2" x14ac:dyDescent="0.25">
      <c r="B6966"/>
    </row>
    <row r="6967" spans="2:2" x14ac:dyDescent="0.25">
      <c r="B6967"/>
    </row>
    <row r="6968" spans="2:2" x14ac:dyDescent="0.25">
      <c r="B6968"/>
    </row>
    <row r="6969" spans="2:2" x14ac:dyDescent="0.25">
      <c r="B6969"/>
    </row>
    <row r="6970" spans="2:2" x14ac:dyDescent="0.25">
      <c r="B6970"/>
    </row>
    <row r="6971" spans="2:2" x14ac:dyDescent="0.25">
      <c r="B6971"/>
    </row>
    <row r="6972" spans="2:2" x14ac:dyDescent="0.25">
      <c r="B6972"/>
    </row>
    <row r="6973" spans="2:2" x14ac:dyDescent="0.25">
      <c r="B6973"/>
    </row>
    <row r="6974" spans="2:2" x14ac:dyDescent="0.25">
      <c r="B6974"/>
    </row>
    <row r="6975" spans="2:2" x14ac:dyDescent="0.25">
      <c r="B6975"/>
    </row>
    <row r="6976" spans="2:2" x14ac:dyDescent="0.25">
      <c r="B6976"/>
    </row>
    <row r="6977" spans="2:2" x14ac:dyDescent="0.25">
      <c r="B6977"/>
    </row>
    <row r="6978" spans="2:2" x14ac:dyDescent="0.25">
      <c r="B6978"/>
    </row>
    <row r="6979" spans="2:2" x14ac:dyDescent="0.25">
      <c r="B6979"/>
    </row>
    <row r="6980" spans="2:2" x14ac:dyDescent="0.25">
      <c r="B6980"/>
    </row>
    <row r="6981" spans="2:2" x14ac:dyDescent="0.25">
      <c r="B6981"/>
    </row>
    <row r="6982" spans="2:2" x14ac:dyDescent="0.25">
      <c r="B6982"/>
    </row>
    <row r="6983" spans="2:2" x14ac:dyDescent="0.25">
      <c r="B6983"/>
    </row>
    <row r="6984" spans="2:2" x14ac:dyDescent="0.25">
      <c r="B6984"/>
    </row>
    <row r="6985" spans="2:2" x14ac:dyDescent="0.25">
      <c r="B6985"/>
    </row>
    <row r="6986" spans="2:2" x14ac:dyDescent="0.25">
      <c r="B6986"/>
    </row>
    <row r="6987" spans="2:2" x14ac:dyDescent="0.25">
      <c r="B6987"/>
    </row>
    <row r="6988" spans="2:2" x14ac:dyDescent="0.25">
      <c r="B6988"/>
    </row>
    <row r="6989" spans="2:2" x14ac:dyDescent="0.25">
      <c r="B6989"/>
    </row>
    <row r="6990" spans="2:2" x14ac:dyDescent="0.25">
      <c r="B6990"/>
    </row>
    <row r="6991" spans="2:2" x14ac:dyDescent="0.25">
      <c r="B6991"/>
    </row>
    <row r="6992" spans="2:2" x14ac:dyDescent="0.25">
      <c r="B6992"/>
    </row>
    <row r="6993" spans="2:2" x14ac:dyDescent="0.25">
      <c r="B6993"/>
    </row>
    <row r="6994" spans="2:2" x14ac:dyDescent="0.25">
      <c r="B6994"/>
    </row>
    <row r="6995" spans="2:2" x14ac:dyDescent="0.25">
      <c r="B6995"/>
    </row>
    <row r="6996" spans="2:2" x14ac:dyDescent="0.25">
      <c r="B6996"/>
    </row>
    <row r="6997" spans="2:2" x14ac:dyDescent="0.25">
      <c r="B6997"/>
    </row>
    <row r="6998" spans="2:2" x14ac:dyDescent="0.25">
      <c r="B6998"/>
    </row>
    <row r="6999" spans="2:2" x14ac:dyDescent="0.25">
      <c r="B6999"/>
    </row>
    <row r="7000" spans="2:2" x14ac:dyDescent="0.25">
      <c r="B7000"/>
    </row>
    <row r="7001" spans="2:2" x14ac:dyDescent="0.25">
      <c r="B7001"/>
    </row>
    <row r="7002" spans="2:2" x14ac:dyDescent="0.25">
      <c r="B7002"/>
    </row>
    <row r="7003" spans="2:2" x14ac:dyDescent="0.25">
      <c r="B7003"/>
    </row>
    <row r="7004" spans="2:2" x14ac:dyDescent="0.25">
      <c r="B7004"/>
    </row>
    <row r="7005" spans="2:2" x14ac:dyDescent="0.25">
      <c r="B7005"/>
    </row>
    <row r="7006" spans="2:2" x14ac:dyDescent="0.25">
      <c r="B7006"/>
    </row>
    <row r="7007" spans="2:2" x14ac:dyDescent="0.25">
      <c r="B7007"/>
    </row>
    <row r="7008" spans="2:2" x14ac:dyDescent="0.25">
      <c r="B7008"/>
    </row>
    <row r="7009" spans="2:2" x14ac:dyDescent="0.25">
      <c r="B7009"/>
    </row>
    <row r="7010" spans="2:2" x14ac:dyDescent="0.25">
      <c r="B7010"/>
    </row>
    <row r="7011" spans="2:2" x14ac:dyDescent="0.25">
      <c r="B7011"/>
    </row>
    <row r="7012" spans="2:2" x14ac:dyDescent="0.25">
      <c r="B7012"/>
    </row>
    <row r="7013" spans="2:2" x14ac:dyDescent="0.25">
      <c r="B7013"/>
    </row>
    <row r="7014" spans="2:2" x14ac:dyDescent="0.25">
      <c r="B7014"/>
    </row>
    <row r="7015" spans="2:2" x14ac:dyDescent="0.25">
      <c r="B7015"/>
    </row>
    <row r="7016" spans="2:2" x14ac:dyDescent="0.25">
      <c r="B7016"/>
    </row>
    <row r="7017" spans="2:2" x14ac:dyDescent="0.25">
      <c r="B7017"/>
    </row>
    <row r="7018" spans="2:2" x14ac:dyDescent="0.25">
      <c r="B7018"/>
    </row>
    <row r="7019" spans="2:2" x14ac:dyDescent="0.25">
      <c r="B7019"/>
    </row>
    <row r="7020" spans="2:2" x14ac:dyDescent="0.25">
      <c r="B7020"/>
    </row>
    <row r="7021" spans="2:2" x14ac:dyDescent="0.25">
      <c r="B7021"/>
    </row>
    <row r="7022" spans="2:2" x14ac:dyDescent="0.25">
      <c r="B7022"/>
    </row>
    <row r="7023" spans="2:2" x14ac:dyDescent="0.25">
      <c r="B7023"/>
    </row>
    <row r="7024" spans="2:2" x14ac:dyDescent="0.25">
      <c r="B7024"/>
    </row>
    <row r="7025" spans="2:2" x14ac:dyDescent="0.25">
      <c r="B7025"/>
    </row>
    <row r="7026" spans="2:2" x14ac:dyDescent="0.25">
      <c r="B7026"/>
    </row>
    <row r="7027" spans="2:2" x14ac:dyDescent="0.25">
      <c r="B7027"/>
    </row>
    <row r="7028" spans="2:2" x14ac:dyDescent="0.25">
      <c r="B7028"/>
    </row>
    <row r="7029" spans="2:2" x14ac:dyDescent="0.25">
      <c r="B7029"/>
    </row>
    <row r="7030" spans="2:2" x14ac:dyDescent="0.25">
      <c r="B7030"/>
    </row>
    <row r="7031" spans="2:2" x14ac:dyDescent="0.25">
      <c r="B7031"/>
    </row>
    <row r="7032" spans="2:2" x14ac:dyDescent="0.25">
      <c r="B7032"/>
    </row>
    <row r="7033" spans="2:2" x14ac:dyDescent="0.25">
      <c r="B7033"/>
    </row>
    <row r="7034" spans="2:2" x14ac:dyDescent="0.25">
      <c r="B7034"/>
    </row>
    <row r="7035" spans="2:2" x14ac:dyDescent="0.25">
      <c r="B7035"/>
    </row>
    <row r="7036" spans="2:2" x14ac:dyDescent="0.25">
      <c r="B7036"/>
    </row>
    <row r="7037" spans="2:2" x14ac:dyDescent="0.25">
      <c r="B7037"/>
    </row>
    <row r="7038" spans="2:2" x14ac:dyDescent="0.25">
      <c r="B7038"/>
    </row>
    <row r="7039" spans="2:2" x14ac:dyDescent="0.25">
      <c r="B7039"/>
    </row>
    <row r="7040" spans="2:2" x14ac:dyDescent="0.25">
      <c r="B7040"/>
    </row>
    <row r="7041" spans="2:2" x14ac:dyDescent="0.25">
      <c r="B7041"/>
    </row>
    <row r="7042" spans="2:2" x14ac:dyDescent="0.25">
      <c r="B7042"/>
    </row>
    <row r="7043" spans="2:2" x14ac:dyDescent="0.25">
      <c r="B7043"/>
    </row>
    <row r="7044" spans="2:2" x14ac:dyDescent="0.25">
      <c r="B7044"/>
    </row>
    <row r="7045" spans="2:2" x14ac:dyDescent="0.25">
      <c r="B7045"/>
    </row>
    <row r="7046" spans="2:2" x14ac:dyDescent="0.25">
      <c r="B7046"/>
    </row>
    <row r="7047" spans="2:2" x14ac:dyDescent="0.25">
      <c r="B7047"/>
    </row>
    <row r="7048" spans="2:2" x14ac:dyDescent="0.25">
      <c r="B7048"/>
    </row>
    <row r="7049" spans="2:2" x14ac:dyDescent="0.25">
      <c r="B7049"/>
    </row>
    <row r="7050" spans="2:2" x14ac:dyDescent="0.25">
      <c r="B7050"/>
    </row>
    <row r="7051" spans="2:2" x14ac:dyDescent="0.25">
      <c r="B7051"/>
    </row>
    <row r="7052" spans="2:2" x14ac:dyDescent="0.25">
      <c r="B7052"/>
    </row>
    <row r="7053" spans="2:2" x14ac:dyDescent="0.25">
      <c r="B7053"/>
    </row>
    <row r="7054" spans="2:2" x14ac:dyDescent="0.25">
      <c r="B7054"/>
    </row>
    <row r="7055" spans="2:2" x14ac:dyDescent="0.25">
      <c r="B7055"/>
    </row>
    <row r="7056" spans="2:2" x14ac:dyDescent="0.25">
      <c r="B7056"/>
    </row>
    <row r="7057" spans="2:2" x14ac:dyDescent="0.25">
      <c r="B7057"/>
    </row>
    <row r="7058" spans="2:2" x14ac:dyDescent="0.25">
      <c r="B7058"/>
    </row>
    <row r="7059" spans="2:2" x14ac:dyDescent="0.25">
      <c r="B7059"/>
    </row>
    <row r="7060" spans="2:2" x14ac:dyDescent="0.25">
      <c r="B7060"/>
    </row>
    <row r="7061" spans="2:2" x14ac:dyDescent="0.25">
      <c r="B7061"/>
    </row>
    <row r="7062" spans="2:2" x14ac:dyDescent="0.25">
      <c r="B7062"/>
    </row>
    <row r="7063" spans="2:2" x14ac:dyDescent="0.25">
      <c r="B7063"/>
    </row>
    <row r="7064" spans="2:2" x14ac:dyDescent="0.25">
      <c r="B7064"/>
    </row>
    <row r="7065" spans="2:2" x14ac:dyDescent="0.25">
      <c r="B7065"/>
    </row>
    <row r="7066" spans="2:2" x14ac:dyDescent="0.25">
      <c r="B7066"/>
    </row>
    <row r="7067" spans="2:2" x14ac:dyDescent="0.25">
      <c r="B7067"/>
    </row>
    <row r="7068" spans="2:2" x14ac:dyDescent="0.25">
      <c r="B7068"/>
    </row>
    <row r="7069" spans="2:2" x14ac:dyDescent="0.25">
      <c r="B7069"/>
    </row>
    <row r="7070" spans="2:2" x14ac:dyDescent="0.25">
      <c r="B7070"/>
    </row>
    <row r="7071" spans="2:2" x14ac:dyDescent="0.25">
      <c r="B7071"/>
    </row>
    <row r="7072" spans="2:2" x14ac:dyDescent="0.25">
      <c r="B7072"/>
    </row>
    <row r="7073" spans="2:2" x14ac:dyDescent="0.25">
      <c r="B7073"/>
    </row>
    <row r="7074" spans="2:2" x14ac:dyDescent="0.25">
      <c r="B7074"/>
    </row>
    <row r="7075" spans="2:2" x14ac:dyDescent="0.25">
      <c r="B7075"/>
    </row>
    <row r="7076" spans="2:2" x14ac:dyDescent="0.25">
      <c r="B7076"/>
    </row>
    <row r="7077" spans="2:2" x14ac:dyDescent="0.25">
      <c r="B7077"/>
    </row>
    <row r="7078" spans="2:2" x14ac:dyDescent="0.25">
      <c r="B7078"/>
    </row>
    <row r="7079" spans="2:2" x14ac:dyDescent="0.25">
      <c r="B7079"/>
    </row>
    <row r="7080" spans="2:2" x14ac:dyDescent="0.25">
      <c r="B7080"/>
    </row>
    <row r="7081" spans="2:2" x14ac:dyDescent="0.25">
      <c r="B7081"/>
    </row>
    <row r="7082" spans="2:2" x14ac:dyDescent="0.25">
      <c r="B7082"/>
    </row>
    <row r="7083" spans="2:2" x14ac:dyDescent="0.25">
      <c r="B7083"/>
    </row>
    <row r="7084" spans="2:2" x14ac:dyDescent="0.25">
      <c r="B7084"/>
    </row>
    <row r="7085" spans="2:2" x14ac:dyDescent="0.25">
      <c r="B7085"/>
    </row>
    <row r="7086" spans="2:2" x14ac:dyDescent="0.25">
      <c r="B7086"/>
    </row>
    <row r="7087" spans="2:2" x14ac:dyDescent="0.25">
      <c r="B7087"/>
    </row>
    <row r="7088" spans="2:2" x14ac:dyDescent="0.25">
      <c r="B7088"/>
    </row>
    <row r="7089" spans="2:2" x14ac:dyDescent="0.25">
      <c r="B7089"/>
    </row>
    <row r="7090" spans="2:2" x14ac:dyDescent="0.25">
      <c r="B7090"/>
    </row>
    <row r="7091" spans="2:2" x14ac:dyDescent="0.25">
      <c r="B7091"/>
    </row>
    <row r="7092" spans="2:2" x14ac:dyDescent="0.25">
      <c r="B7092"/>
    </row>
    <row r="7093" spans="2:2" x14ac:dyDescent="0.25">
      <c r="B7093"/>
    </row>
    <row r="7094" spans="2:2" x14ac:dyDescent="0.25">
      <c r="B7094"/>
    </row>
    <row r="7095" spans="2:2" x14ac:dyDescent="0.25">
      <c r="B7095"/>
    </row>
    <row r="7096" spans="2:2" x14ac:dyDescent="0.25">
      <c r="B7096"/>
    </row>
    <row r="7097" spans="2:2" x14ac:dyDescent="0.25">
      <c r="B7097"/>
    </row>
    <row r="7098" spans="2:2" x14ac:dyDescent="0.25">
      <c r="B7098"/>
    </row>
    <row r="7099" spans="2:2" x14ac:dyDescent="0.25">
      <c r="B7099"/>
    </row>
    <row r="7100" spans="2:2" x14ac:dyDescent="0.25">
      <c r="B7100"/>
    </row>
    <row r="7101" spans="2:2" x14ac:dyDescent="0.25">
      <c r="B7101"/>
    </row>
    <row r="7102" spans="2:2" x14ac:dyDescent="0.25">
      <c r="B7102"/>
    </row>
    <row r="7103" spans="2:2" x14ac:dyDescent="0.25">
      <c r="B7103"/>
    </row>
    <row r="7104" spans="2:2" x14ac:dyDescent="0.25">
      <c r="B7104"/>
    </row>
    <row r="7105" spans="2:2" x14ac:dyDescent="0.25">
      <c r="B7105"/>
    </row>
    <row r="7106" spans="2:2" x14ac:dyDescent="0.25">
      <c r="B7106"/>
    </row>
    <row r="7107" spans="2:2" x14ac:dyDescent="0.25">
      <c r="B7107"/>
    </row>
    <row r="7108" spans="2:2" x14ac:dyDescent="0.25">
      <c r="B7108"/>
    </row>
    <row r="7109" spans="2:2" x14ac:dyDescent="0.25">
      <c r="B7109"/>
    </row>
    <row r="7110" spans="2:2" x14ac:dyDescent="0.25">
      <c r="B7110"/>
    </row>
    <row r="7111" spans="2:2" x14ac:dyDescent="0.25">
      <c r="B7111"/>
    </row>
    <row r="7112" spans="2:2" x14ac:dyDescent="0.25">
      <c r="B7112"/>
    </row>
    <row r="7113" spans="2:2" x14ac:dyDescent="0.25">
      <c r="B7113"/>
    </row>
    <row r="7114" spans="2:2" x14ac:dyDescent="0.25">
      <c r="B7114"/>
    </row>
    <row r="7115" spans="2:2" x14ac:dyDescent="0.25">
      <c r="B7115"/>
    </row>
    <row r="7116" spans="2:2" x14ac:dyDescent="0.25">
      <c r="B7116"/>
    </row>
    <row r="7117" spans="2:2" x14ac:dyDescent="0.25">
      <c r="B7117"/>
    </row>
    <row r="7118" spans="2:2" x14ac:dyDescent="0.25">
      <c r="B7118"/>
    </row>
    <row r="7119" spans="2:2" x14ac:dyDescent="0.25">
      <c r="B7119"/>
    </row>
    <row r="7120" spans="2:2" x14ac:dyDescent="0.25">
      <c r="B7120"/>
    </row>
    <row r="7121" spans="2:2" x14ac:dyDescent="0.25">
      <c r="B7121"/>
    </row>
    <row r="7122" spans="2:2" x14ac:dyDescent="0.25">
      <c r="B7122"/>
    </row>
    <row r="7123" spans="2:2" x14ac:dyDescent="0.25">
      <c r="B7123"/>
    </row>
    <row r="7124" spans="2:2" x14ac:dyDescent="0.25">
      <c r="B7124"/>
    </row>
    <row r="7125" spans="2:2" x14ac:dyDescent="0.25">
      <c r="B7125"/>
    </row>
    <row r="7126" spans="2:2" x14ac:dyDescent="0.25">
      <c r="B7126"/>
    </row>
    <row r="7127" spans="2:2" x14ac:dyDescent="0.25">
      <c r="B7127"/>
    </row>
    <row r="7128" spans="2:2" x14ac:dyDescent="0.25">
      <c r="B7128"/>
    </row>
    <row r="7129" spans="2:2" x14ac:dyDescent="0.25">
      <c r="B7129"/>
    </row>
    <row r="7130" spans="2:2" x14ac:dyDescent="0.25">
      <c r="B7130"/>
    </row>
    <row r="7131" spans="2:2" x14ac:dyDescent="0.25">
      <c r="B7131"/>
    </row>
    <row r="7132" spans="2:2" x14ac:dyDescent="0.25">
      <c r="B7132"/>
    </row>
    <row r="7133" spans="2:2" x14ac:dyDescent="0.25">
      <c r="B7133"/>
    </row>
    <row r="7134" spans="2:2" x14ac:dyDescent="0.25">
      <c r="B7134"/>
    </row>
    <row r="7135" spans="2:2" x14ac:dyDescent="0.25">
      <c r="B7135"/>
    </row>
    <row r="7136" spans="2:2" x14ac:dyDescent="0.25">
      <c r="B7136"/>
    </row>
    <row r="7137" spans="2:2" x14ac:dyDescent="0.25">
      <c r="B7137"/>
    </row>
    <row r="7138" spans="2:2" x14ac:dyDescent="0.25">
      <c r="B7138"/>
    </row>
    <row r="7139" spans="2:2" x14ac:dyDescent="0.25">
      <c r="B7139"/>
    </row>
    <row r="7140" spans="2:2" x14ac:dyDescent="0.25">
      <c r="B7140"/>
    </row>
    <row r="7141" spans="2:2" x14ac:dyDescent="0.25">
      <c r="B7141"/>
    </row>
    <row r="7142" spans="2:2" x14ac:dyDescent="0.25">
      <c r="B7142"/>
    </row>
    <row r="7143" spans="2:2" x14ac:dyDescent="0.25">
      <c r="B7143"/>
    </row>
    <row r="7144" spans="2:2" x14ac:dyDescent="0.25">
      <c r="B7144"/>
    </row>
    <row r="7145" spans="2:2" x14ac:dyDescent="0.25">
      <c r="B7145"/>
    </row>
    <row r="7146" spans="2:2" x14ac:dyDescent="0.25">
      <c r="B7146"/>
    </row>
    <row r="7147" spans="2:2" x14ac:dyDescent="0.25">
      <c r="B7147"/>
    </row>
    <row r="7148" spans="2:2" x14ac:dyDescent="0.25">
      <c r="B7148"/>
    </row>
    <row r="7149" spans="2:2" x14ac:dyDescent="0.25">
      <c r="B7149"/>
    </row>
    <row r="7150" spans="2:2" x14ac:dyDescent="0.25">
      <c r="B7150"/>
    </row>
    <row r="7151" spans="2:2" x14ac:dyDescent="0.25">
      <c r="B7151"/>
    </row>
    <row r="7152" spans="2:2" x14ac:dyDescent="0.25">
      <c r="B7152"/>
    </row>
    <row r="7153" spans="2:2" x14ac:dyDescent="0.25">
      <c r="B7153"/>
    </row>
    <row r="7154" spans="2:2" x14ac:dyDescent="0.25">
      <c r="B7154"/>
    </row>
    <row r="7155" spans="2:2" x14ac:dyDescent="0.25">
      <c r="B7155"/>
    </row>
    <row r="7156" spans="2:2" x14ac:dyDescent="0.25">
      <c r="B7156"/>
    </row>
    <row r="7157" spans="2:2" x14ac:dyDescent="0.25">
      <c r="B7157"/>
    </row>
    <row r="7158" spans="2:2" x14ac:dyDescent="0.25">
      <c r="B7158"/>
    </row>
    <row r="7159" spans="2:2" x14ac:dyDescent="0.25">
      <c r="B7159"/>
    </row>
    <row r="7160" spans="2:2" x14ac:dyDescent="0.25">
      <c r="B7160"/>
    </row>
    <row r="7161" spans="2:2" x14ac:dyDescent="0.25">
      <c r="B7161"/>
    </row>
    <row r="7162" spans="2:2" x14ac:dyDescent="0.25">
      <c r="B7162"/>
    </row>
    <row r="7163" spans="2:2" x14ac:dyDescent="0.25">
      <c r="B7163"/>
    </row>
    <row r="7164" spans="2:2" x14ac:dyDescent="0.25">
      <c r="B7164"/>
    </row>
    <row r="7165" spans="2:2" x14ac:dyDescent="0.25">
      <c r="B7165"/>
    </row>
    <row r="7166" spans="2:2" x14ac:dyDescent="0.25">
      <c r="B7166"/>
    </row>
    <row r="7167" spans="2:2" x14ac:dyDescent="0.25">
      <c r="B7167"/>
    </row>
    <row r="7168" spans="2:2" x14ac:dyDescent="0.25">
      <c r="B7168"/>
    </row>
    <row r="7169" spans="2:2" x14ac:dyDescent="0.25">
      <c r="B7169"/>
    </row>
    <row r="7170" spans="2:2" x14ac:dyDescent="0.25">
      <c r="B7170"/>
    </row>
    <row r="7171" spans="2:2" x14ac:dyDescent="0.25">
      <c r="B7171"/>
    </row>
    <row r="7172" spans="2:2" x14ac:dyDescent="0.25">
      <c r="B7172"/>
    </row>
    <row r="7173" spans="2:2" x14ac:dyDescent="0.25">
      <c r="B7173"/>
    </row>
    <row r="7174" spans="2:2" x14ac:dyDescent="0.25">
      <c r="B7174"/>
    </row>
    <row r="7175" spans="2:2" x14ac:dyDescent="0.25">
      <c r="B7175"/>
    </row>
    <row r="7176" spans="2:2" x14ac:dyDescent="0.25">
      <c r="B7176"/>
    </row>
    <row r="7177" spans="2:2" x14ac:dyDescent="0.25">
      <c r="B7177"/>
    </row>
    <row r="7178" spans="2:2" x14ac:dyDescent="0.25">
      <c r="B7178"/>
    </row>
    <row r="7179" spans="2:2" x14ac:dyDescent="0.25">
      <c r="B7179"/>
    </row>
    <row r="7180" spans="2:2" x14ac:dyDescent="0.25">
      <c r="B7180"/>
    </row>
    <row r="7181" spans="2:2" x14ac:dyDescent="0.25">
      <c r="B7181"/>
    </row>
    <row r="7182" spans="2:2" x14ac:dyDescent="0.25">
      <c r="B7182"/>
    </row>
    <row r="7183" spans="2:2" x14ac:dyDescent="0.25">
      <c r="B7183"/>
    </row>
    <row r="7184" spans="2:2" x14ac:dyDescent="0.25">
      <c r="B7184"/>
    </row>
    <row r="7185" spans="2:2" x14ac:dyDescent="0.25">
      <c r="B7185"/>
    </row>
    <row r="7186" spans="2:2" x14ac:dyDescent="0.25">
      <c r="B7186"/>
    </row>
    <row r="7187" spans="2:2" x14ac:dyDescent="0.25">
      <c r="B7187"/>
    </row>
    <row r="7188" spans="2:2" x14ac:dyDescent="0.25">
      <c r="B7188"/>
    </row>
    <row r="7189" spans="2:2" x14ac:dyDescent="0.25">
      <c r="B7189"/>
    </row>
    <row r="7190" spans="2:2" x14ac:dyDescent="0.25">
      <c r="B7190"/>
    </row>
    <row r="7191" spans="2:2" x14ac:dyDescent="0.25">
      <c r="B7191"/>
    </row>
    <row r="7192" spans="2:2" x14ac:dyDescent="0.25">
      <c r="B7192"/>
    </row>
    <row r="7193" spans="2:2" x14ac:dyDescent="0.25">
      <c r="B7193"/>
    </row>
    <row r="7194" spans="2:2" x14ac:dyDescent="0.25">
      <c r="B7194"/>
    </row>
    <row r="7195" spans="2:2" x14ac:dyDescent="0.25">
      <c r="B7195"/>
    </row>
    <row r="7196" spans="2:2" x14ac:dyDescent="0.25">
      <c r="B7196"/>
    </row>
    <row r="7197" spans="2:2" x14ac:dyDescent="0.25">
      <c r="B7197"/>
    </row>
    <row r="7198" spans="2:2" x14ac:dyDescent="0.25">
      <c r="B7198"/>
    </row>
    <row r="7199" spans="2:2" x14ac:dyDescent="0.25">
      <c r="B7199"/>
    </row>
    <row r="7200" spans="2:2" x14ac:dyDescent="0.25">
      <c r="B7200"/>
    </row>
    <row r="7201" spans="2:2" x14ac:dyDescent="0.25">
      <c r="B7201"/>
    </row>
    <row r="7202" spans="2:2" x14ac:dyDescent="0.25">
      <c r="B7202"/>
    </row>
    <row r="7203" spans="2:2" x14ac:dyDescent="0.25">
      <c r="B7203"/>
    </row>
    <row r="7204" spans="2:2" x14ac:dyDescent="0.25">
      <c r="B7204"/>
    </row>
    <row r="7205" spans="2:2" x14ac:dyDescent="0.25">
      <c r="B7205"/>
    </row>
    <row r="7206" spans="2:2" x14ac:dyDescent="0.25">
      <c r="B7206"/>
    </row>
    <row r="7207" spans="2:2" x14ac:dyDescent="0.25">
      <c r="B7207"/>
    </row>
    <row r="7208" spans="2:2" x14ac:dyDescent="0.25">
      <c r="B7208"/>
    </row>
    <row r="7209" spans="2:2" x14ac:dyDescent="0.25">
      <c r="B7209"/>
    </row>
    <row r="7210" spans="2:2" x14ac:dyDescent="0.25">
      <c r="B7210"/>
    </row>
    <row r="7211" spans="2:2" x14ac:dyDescent="0.25">
      <c r="B7211"/>
    </row>
    <row r="7212" spans="2:2" x14ac:dyDescent="0.25">
      <c r="B7212"/>
    </row>
    <row r="7213" spans="2:2" x14ac:dyDescent="0.25">
      <c r="B7213"/>
    </row>
    <row r="7214" spans="2:2" x14ac:dyDescent="0.25">
      <c r="B7214"/>
    </row>
    <row r="7215" spans="2:2" x14ac:dyDescent="0.25">
      <c r="B7215"/>
    </row>
    <row r="7216" spans="2:2" x14ac:dyDescent="0.25">
      <c r="B7216"/>
    </row>
    <row r="7217" spans="2:2" x14ac:dyDescent="0.25">
      <c r="B7217"/>
    </row>
    <row r="7218" spans="2:2" x14ac:dyDescent="0.25">
      <c r="B7218"/>
    </row>
    <row r="7219" spans="2:2" x14ac:dyDescent="0.25">
      <c r="B7219"/>
    </row>
    <row r="7220" spans="2:2" x14ac:dyDescent="0.25">
      <c r="B7220"/>
    </row>
    <row r="7221" spans="2:2" x14ac:dyDescent="0.25">
      <c r="B7221"/>
    </row>
    <row r="7222" spans="2:2" x14ac:dyDescent="0.25">
      <c r="B7222"/>
    </row>
    <row r="7223" spans="2:2" x14ac:dyDescent="0.25">
      <c r="B7223"/>
    </row>
    <row r="7224" spans="2:2" x14ac:dyDescent="0.25">
      <c r="B7224"/>
    </row>
    <row r="7225" spans="2:2" x14ac:dyDescent="0.25">
      <c r="B7225"/>
    </row>
    <row r="7226" spans="2:2" x14ac:dyDescent="0.25">
      <c r="B7226"/>
    </row>
    <row r="7227" spans="2:2" x14ac:dyDescent="0.25">
      <c r="B7227"/>
    </row>
    <row r="7228" spans="2:2" x14ac:dyDescent="0.25">
      <c r="B7228"/>
    </row>
    <row r="7229" spans="2:2" x14ac:dyDescent="0.25">
      <c r="B7229"/>
    </row>
    <row r="7230" spans="2:2" x14ac:dyDescent="0.25">
      <c r="B7230"/>
    </row>
    <row r="7231" spans="2:2" x14ac:dyDescent="0.25">
      <c r="B7231"/>
    </row>
    <row r="7232" spans="2:2" x14ac:dyDescent="0.25">
      <c r="B7232"/>
    </row>
    <row r="7233" spans="2:2" x14ac:dyDescent="0.25">
      <c r="B7233"/>
    </row>
    <row r="7234" spans="2:2" x14ac:dyDescent="0.25">
      <c r="B7234"/>
    </row>
    <row r="7235" spans="2:2" x14ac:dyDescent="0.25">
      <c r="B7235"/>
    </row>
    <row r="7236" spans="2:2" x14ac:dyDescent="0.25">
      <c r="B7236"/>
    </row>
    <row r="7237" spans="2:2" x14ac:dyDescent="0.25">
      <c r="B7237"/>
    </row>
    <row r="7238" spans="2:2" x14ac:dyDescent="0.25">
      <c r="B7238"/>
    </row>
    <row r="7239" spans="2:2" x14ac:dyDescent="0.25">
      <c r="B7239"/>
    </row>
    <row r="7240" spans="2:2" x14ac:dyDescent="0.25">
      <c r="B7240"/>
    </row>
    <row r="7241" spans="2:2" x14ac:dyDescent="0.25">
      <c r="B7241"/>
    </row>
    <row r="7242" spans="2:2" x14ac:dyDescent="0.25">
      <c r="B7242"/>
    </row>
    <row r="7243" spans="2:2" x14ac:dyDescent="0.25">
      <c r="B7243"/>
    </row>
    <row r="7244" spans="2:2" x14ac:dyDescent="0.25">
      <c r="B7244"/>
    </row>
    <row r="7245" spans="2:2" x14ac:dyDescent="0.25">
      <c r="B7245"/>
    </row>
    <row r="7246" spans="2:2" x14ac:dyDescent="0.25">
      <c r="B7246"/>
    </row>
    <row r="7247" spans="2:2" x14ac:dyDescent="0.25">
      <c r="B7247"/>
    </row>
    <row r="7248" spans="2:2" x14ac:dyDescent="0.25">
      <c r="B7248"/>
    </row>
    <row r="7249" spans="2:2" x14ac:dyDescent="0.25">
      <c r="B7249"/>
    </row>
    <row r="7250" spans="2:2" x14ac:dyDescent="0.25">
      <c r="B7250"/>
    </row>
    <row r="7251" spans="2:2" x14ac:dyDescent="0.25">
      <c r="B7251"/>
    </row>
    <row r="7252" spans="2:2" x14ac:dyDescent="0.25">
      <c r="B7252"/>
    </row>
    <row r="7253" spans="2:2" x14ac:dyDescent="0.25">
      <c r="B7253"/>
    </row>
    <row r="7254" spans="2:2" x14ac:dyDescent="0.25">
      <c r="B7254"/>
    </row>
    <row r="7255" spans="2:2" x14ac:dyDescent="0.25">
      <c r="B7255"/>
    </row>
    <row r="7256" spans="2:2" x14ac:dyDescent="0.25">
      <c r="B7256"/>
    </row>
    <row r="7257" spans="2:2" x14ac:dyDescent="0.25">
      <c r="B7257"/>
    </row>
    <row r="7258" spans="2:2" x14ac:dyDescent="0.25">
      <c r="B7258"/>
    </row>
    <row r="7259" spans="2:2" x14ac:dyDescent="0.25">
      <c r="B7259"/>
    </row>
    <row r="7260" spans="2:2" x14ac:dyDescent="0.25">
      <c r="B7260"/>
    </row>
    <row r="7261" spans="2:2" x14ac:dyDescent="0.25">
      <c r="B7261"/>
    </row>
    <row r="7262" spans="2:2" x14ac:dyDescent="0.25">
      <c r="B7262"/>
    </row>
    <row r="7263" spans="2:2" x14ac:dyDescent="0.25">
      <c r="B7263"/>
    </row>
    <row r="7264" spans="2:2" x14ac:dyDescent="0.25">
      <c r="B7264"/>
    </row>
    <row r="7265" spans="2:2" x14ac:dyDescent="0.25">
      <c r="B7265"/>
    </row>
    <row r="7266" spans="2:2" x14ac:dyDescent="0.25">
      <c r="B7266"/>
    </row>
    <row r="7267" spans="2:2" x14ac:dyDescent="0.25">
      <c r="B7267"/>
    </row>
    <row r="7268" spans="2:2" x14ac:dyDescent="0.25">
      <c r="B7268"/>
    </row>
    <row r="7269" spans="2:2" x14ac:dyDescent="0.25">
      <c r="B7269"/>
    </row>
    <row r="7270" spans="2:2" x14ac:dyDescent="0.25">
      <c r="B7270"/>
    </row>
    <row r="7271" spans="2:2" x14ac:dyDescent="0.25">
      <c r="B7271"/>
    </row>
    <row r="7272" spans="2:2" x14ac:dyDescent="0.25">
      <c r="B7272"/>
    </row>
    <row r="7273" spans="2:2" x14ac:dyDescent="0.25">
      <c r="B7273"/>
    </row>
    <row r="7274" spans="2:2" x14ac:dyDescent="0.25">
      <c r="B7274"/>
    </row>
    <row r="7275" spans="2:2" x14ac:dyDescent="0.25">
      <c r="B7275"/>
    </row>
    <row r="7276" spans="2:2" x14ac:dyDescent="0.25">
      <c r="B7276"/>
    </row>
    <row r="7277" spans="2:2" x14ac:dyDescent="0.25">
      <c r="B7277"/>
    </row>
    <row r="7278" spans="2:2" x14ac:dyDescent="0.25">
      <c r="B7278"/>
    </row>
    <row r="7279" spans="2:2" x14ac:dyDescent="0.25">
      <c r="B7279"/>
    </row>
    <row r="7280" spans="2:2" x14ac:dyDescent="0.25">
      <c r="B7280"/>
    </row>
    <row r="7281" spans="2:2" x14ac:dyDescent="0.25">
      <c r="B7281"/>
    </row>
    <row r="7282" spans="2:2" x14ac:dyDescent="0.25">
      <c r="B7282"/>
    </row>
    <row r="7283" spans="2:2" x14ac:dyDescent="0.25">
      <c r="B7283"/>
    </row>
    <row r="7284" spans="2:2" x14ac:dyDescent="0.25">
      <c r="B7284"/>
    </row>
    <row r="7285" spans="2:2" x14ac:dyDescent="0.25">
      <c r="B7285"/>
    </row>
    <row r="7286" spans="2:2" x14ac:dyDescent="0.25">
      <c r="B7286"/>
    </row>
    <row r="7287" spans="2:2" x14ac:dyDescent="0.25">
      <c r="B7287"/>
    </row>
    <row r="7288" spans="2:2" x14ac:dyDescent="0.25">
      <c r="B7288"/>
    </row>
    <row r="7289" spans="2:2" x14ac:dyDescent="0.25">
      <c r="B7289"/>
    </row>
    <row r="7290" spans="2:2" x14ac:dyDescent="0.25">
      <c r="B7290"/>
    </row>
    <row r="7291" spans="2:2" x14ac:dyDescent="0.25">
      <c r="B7291"/>
    </row>
    <row r="7292" spans="2:2" x14ac:dyDescent="0.25">
      <c r="B7292"/>
    </row>
    <row r="7293" spans="2:2" x14ac:dyDescent="0.25">
      <c r="B7293"/>
    </row>
    <row r="7294" spans="2:2" x14ac:dyDescent="0.25">
      <c r="B7294"/>
    </row>
    <row r="7295" spans="2:2" x14ac:dyDescent="0.25">
      <c r="B7295"/>
    </row>
    <row r="7296" spans="2:2" x14ac:dyDescent="0.25">
      <c r="B7296"/>
    </row>
    <row r="7297" spans="2:2" x14ac:dyDescent="0.25">
      <c r="B7297"/>
    </row>
    <row r="7298" spans="2:2" x14ac:dyDescent="0.25">
      <c r="B7298"/>
    </row>
    <row r="7299" spans="2:2" x14ac:dyDescent="0.25">
      <c r="B7299"/>
    </row>
    <row r="7300" spans="2:2" x14ac:dyDescent="0.25">
      <c r="B7300"/>
    </row>
    <row r="7301" spans="2:2" x14ac:dyDescent="0.25">
      <c r="B7301"/>
    </row>
    <row r="7302" spans="2:2" x14ac:dyDescent="0.25">
      <c r="B7302"/>
    </row>
    <row r="7303" spans="2:2" x14ac:dyDescent="0.25">
      <c r="B7303"/>
    </row>
    <row r="7304" spans="2:2" x14ac:dyDescent="0.25">
      <c r="B7304"/>
    </row>
    <row r="7305" spans="2:2" x14ac:dyDescent="0.25">
      <c r="B7305"/>
    </row>
    <row r="7306" spans="2:2" x14ac:dyDescent="0.25">
      <c r="B7306"/>
    </row>
    <row r="7307" spans="2:2" x14ac:dyDescent="0.25">
      <c r="B7307"/>
    </row>
    <row r="7308" spans="2:2" x14ac:dyDescent="0.25">
      <c r="B7308"/>
    </row>
    <row r="7309" spans="2:2" x14ac:dyDescent="0.25">
      <c r="B7309"/>
    </row>
    <row r="7310" spans="2:2" x14ac:dyDescent="0.25">
      <c r="B7310"/>
    </row>
    <row r="7311" spans="2:2" x14ac:dyDescent="0.25">
      <c r="B7311"/>
    </row>
    <row r="7312" spans="2:2" x14ac:dyDescent="0.25">
      <c r="B7312"/>
    </row>
    <row r="7313" spans="2:2" x14ac:dyDescent="0.25">
      <c r="B7313"/>
    </row>
    <row r="7314" spans="2:2" x14ac:dyDescent="0.25">
      <c r="B7314"/>
    </row>
    <row r="7315" spans="2:2" x14ac:dyDescent="0.25">
      <c r="B7315"/>
    </row>
    <row r="7316" spans="2:2" x14ac:dyDescent="0.25">
      <c r="B7316"/>
    </row>
    <row r="7317" spans="2:2" x14ac:dyDescent="0.25">
      <c r="B7317"/>
    </row>
    <row r="7318" spans="2:2" x14ac:dyDescent="0.25">
      <c r="B7318"/>
    </row>
    <row r="7319" spans="2:2" x14ac:dyDescent="0.25">
      <c r="B7319"/>
    </row>
    <row r="7320" spans="2:2" x14ac:dyDescent="0.25">
      <c r="B7320"/>
    </row>
    <row r="7321" spans="2:2" x14ac:dyDescent="0.25">
      <c r="B7321"/>
    </row>
    <row r="7322" spans="2:2" x14ac:dyDescent="0.25">
      <c r="B7322"/>
    </row>
    <row r="7323" spans="2:2" x14ac:dyDescent="0.25">
      <c r="B7323"/>
    </row>
    <row r="7324" spans="2:2" x14ac:dyDescent="0.25">
      <c r="B7324"/>
    </row>
    <row r="7325" spans="2:2" x14ac:dyDescent="0.25">
      <c r="B7325"/>
    </row>
    <row r="7326" spans="2:2" x14ac:dyDescent="0.25">
      <c r="B7326"/>
    </row>
    <row r="7327" spans="2:2" x14ac:dyDescent="0.25">
      <c r="B7327"/>
    </row>
    <row r="7328" spans="2:2" x14ac:dyDescent="0.25">
      <c r="B7328"/>
    </row>
    <row r="7329" spans="2:2" x14ac:dyDescent="0.25">
      <c r="B7329"/>
    </row>
    <row r="7330" spans="2:2" x14ac:dyDescent="0.25">
      <c r="B7330"/>
    </row>
    <row r="7331" spans="2:2" x14ac:dyDescent="0.25">
      <c r="B7331"/>
    </row>
    <row r="7332" spans="2:2" x14ac:dyDescent="0.25">
      <c r="B7332"/>
    </row>
    <row r="7333" spans="2:2" x14ac:dyDescent="0.25">
      <c r="B7333"/>
    </row>
    <row r="7334" spans="2:2" x14ac:dyDescent="0.25">
      <c r="B7334"/>
    </row>
    <row r="7335" spans="2:2" x14ac:dyDescent="0.25">
      <c r="B7335"/>
    </row>
    <row r="7336" spans="2:2" x14ac:dyDescent="0.25">
      <c r="B7336"/>
    </row>
    <row r="7337" spans="2:2" x14ac:dyDescent="0.25">
      <c r="B7337"/>
    </row>
    <row r="7338" spans="2:2" x14ac:dyDescent="0.25">
      <c r="B7338"/>
    </row>
    <row r="7339" spans="2:2" x14ac:dyDescent="0.25">
      <c r="B7339"/>
    </row>
    <row r="7340" spans="2:2" x14ac:dyDescent="0.25">
      <c r="B7340"/>
    </row>
    <row r="7341" spans="2:2" x14ac:dyDescent="0.25">
      <c r="B7341"/>
    </row>
    <row r="7342" spans="2:2" x14ac:dyDescent="0.25">
      <c r="B7342"/>
    </row>
    <row r="7343" spans="2:2" x14ac:dyDescent="0.25">
      <c r="B7343"/>
    </row>
    <row r="7344" spans="2:2" x14ac:dyDescent="0.25">
      <c r="B7344"/>
    </row>
    <row r="7345" spans="2:2" x14ac:dyDescent="0.25">
      <c r="B7345"/>
    </row>
    <row r="7346" spans="2:2" x14ac:dyDescent="0.25">
      <c r="B7346"/>
    </row>
    <row r="7347" spans="2:2" x14ac:dyDescent="0.25">
      <c r="B7347"/>
    </row>
    <row r="7348" spans="2:2" x14ac:dyDescent="0.25">
      <c r="B7348"/>
    </row>
    <row r="7349" spans="2:2" x14ac:dyDescent="0.25">
      <c r="B7349"/>
    </row>
    <row r="7350" spans="2:2" x14ac:dyDescent="0.25">
      <c r="B7350"/>
    </row>
    <row r="7351" spans="2:2" x14ac:dyDescent="0.25">
      <c r="B7351"/>
    </row>
    <row r="7352" spans="2:2" x14ac:dyDescent="0.25">
      <c r="B7352"/>
    </row>
    <row r="7353" spans="2:2" x14ac:dyDescent="0.25">
      <c r="B7353"/>
    </row>
    <row r="7354" spans="2:2" x14ac:dyDescent="0.25">
      <c r="B7354"/>
    </row>
    <row r="7355" spans="2:2" x14ac:dyDescent="0.25">
      <c r="B7355"/>
    </row>
    <row r="7356" spans="2:2" x14ac:dyDescent="0.25">
      <c r="B7356"/>
    </row>
    <row r="7357" spans="2:2" x14ac:dyDescent="0.25">
      <c r="B7357"/>
    </row>
    <row r="7358" spans="2:2" x14ac:dyDescent="0.25">
      <c r="B7358"/>
    </row>
    <row r="7359" spans="2:2" x14ac:dyDescent="0.25">
      <c r="B7359"/>
    </row>
    <row r="7360" spans="2:2" x14ac:dyDescent="0.25">
      <c r="B7360"/>
    </row>
    <row r="7361" spans="2:2" x14ac:dyDescent="0.25">
      <c r="B7361"/>
    </row>
    <row r="7362" spans="2:2" x14ac:dyDescent="0.25">
      <c r="B7362"/>
    </row>
    <row r="7363" spans="2:2" x14ac:dyDescent="0.25">
      <c r="B7363"/>
    </row>
    <row r="7364" spans="2:2" x14ac:dyDescent="0.25">
      <c r="B7364"/>
    </row>
    <row r="7365" spans="2:2" x14ac:dyDescent="0.25">
      <c r="B7365"/>
    </row>
    <row r="7366" spans="2:2" x14ac:dyDescent="0.25">
      <c r="B7366"/>
    </row>
    <row r="7367" spans="2:2" x14ac:dyDescent="0.25">
      <c r="B7367"/>
    </row>
    <row r="7368" spans="2:2" x14ac:dyDescent="0.25">
      <c r="B7368"/>
    </row>
    <row r="7369" spans="2:2" x14ac:dyDescent="0.25">
      <c r="B7369"/>
    </row>
    <row r="7370" spans="2:2" x14ac:dyDescent="0.25">
      <c r="B7370"/>
    </row>
    <row r="7371" spans="2:2" x14ac:dyDescent="0.25">
      <c r="B7371"/>
    </row>
    <row r="7372" spans="2:2" x14ac:dyDescent="0.25">
      <c r="B7372"/>
    </row>
    <row r="7373" spans="2:2" x14ac:dyDescent="0.25">
      <c r="B7373"/>
    </row>
    <row r="7374" spans="2:2" x14ac:dyDescent="0.25">
      <c r="B7374"/>
    </row>
    <row r="7375" spans="2:2" x14ac:dyDescent="0.25">
      <c r="B7375"/>
    </row>
    <row r="7376" spans="2:2" x14ac:dyDescent="0.25">
      <c r="B7376"/>
    </row>
    <row r="7377" spans="2:2" x14ac:dyDescent="0.25">
      <c r="B7377"/>
    </row>
    <row r="7378" spans="2:2" x14ac:dyDescent="0.25">
      <c r="B7378"/>
    </row>
    <row r="7379" spans="2:2" x14ac:dyDescent="0.25">
      <c r="B7379"/>
    </row>
    <row r="7380" spans="2:2" x14ac:dyDescent="0.25">
      <c r="B7380"/>
    </row>
    <row r="7381" spans="2:2" x14ac:dyDescent="0.25">
      <c r="B7381"/>
    </row>
    <row r="7382" spans="2:2" x14ac:dyDescent="0.25">
      <c r="B7382"/>
    </row>
    <row r="7383" spans="2:2" x14ac:dyDescent="0.25">
      <c r="B7383"/>
    </row>
    <row r="7384" spans="2:2" x14ac:dyDescent="0.25">
      <c r="B7384"/>
    </row>
    <row r="7385" spans="2:2" x14ac:dyDescent="0.25">
      <c r="B7385"/>
    </row>
    <row r="7386" spans="2:2" x14ac:dyDescent="0.25">
      <c r="B7386"/>
    </row>
    <row r="7387" spans="2:2" x14ac:dyDescent="0.25">
      <c r="B7387"/>
    </row>
    <row r="7388" spans="2:2" x14ac:dyDescent="0.25">
      <c r="B7388"/>
    </row>
    <row r="7389" spans="2:2" x14ac:dyDescent="0.25">
      <c r="B7389"/>
    </row>
    <row r="7390" spans="2:2" x14ac:dyDescent="0.25">
      <c r="B7390"/>
    </row>
    <row r="7391" spans="2:2" x14ac:dyDescent="0.25">
      <c r="B7391"/>
    </row>
    <row r="7392" spans="2:2" x14ac:dyDescent="0.25">
      <c r="B7392"/>
    </row>
    <row r="7393" spans="2:2" x14ac:dyDescent="0.25">
      <c r="B7393"/>
    </row>
    <row r="7394" spans="2:2" x14ac:dyDescent="0.25">
      <c r="B7394"/>
    </row>
    <row r="7395" spans="2:2" x14ac:dyDescent="0.25">
      <c r="B7395"/>
    </row>
    <row r="7396" spans="2:2" x14ac:dyDescent="0.25">
      <c r="B7396"/>
    </row>
    <row r="7397" spans="2:2" x14ac:dyDescent="0.25">
      <c r="B7397"/>
    </row>
    <row r="7398" spans="2:2" x14ac:dyDescent="0.25">
      <c r="B7398"/>
    </row>
    <row r="7399" spans="2:2" x14ac:dyDescent="0.25">
      <c r="B7399"/>
    </row>
    <row r="7400" spans="2:2" x14ac:dyDescent="0.25">
      <c r="B7400"/>
    </row>
    <row r="7401" spans="2:2" x14ac:dyDescent="0.25">
      <c r="B7401"/>
    </row>
    <row r="7402" spans="2:2" x14ac:dyDescent="0.25">
      <c r="B7402"/>
    </row>
    <row r="7403" spans="2:2" x14ac:dyDescent="0.25">
      <c r="B7403"/>
    </row>
    <row r="7404" spans="2:2" x14ac:dyDescent="0.25">
      <c r="B7404"/>
    </row>
    <row r="7405" spans="2:2" x14ac:dyDescent="0.25">
      <c r="B7405"/>
    </row>
    <row r="7406" spans="2:2" x14ac:dyDescent="0.25">
      <c r="B7406"/>
    </row>
    <row r="7407" spans="2:2" x14ac:dyDescent="0.25">
      <c r="B7407"/>
    </row>
    <row r="7408" spans="2:2" x14ac:dyDescent="0.25">
      <c r="B7408"/>
    </row>
    <row r="7409" spans="2:2" x14ac:dyDescent="0.25">
      <c r="B7409"/>
    </row>
    <row r="7410" spans="2:2" x14ac:dyDescent="0.25">
      <c r="B7410"/>
    </row>
    <row r="7411" spans="2:2" x14ac:dyDescent="0.25">
      <c r="B7411"/>
    </row>
    <row r="7412" spans="2:2" x14ac:dyDescent="0.25">
      <c r="B7412"/>
    </row>
    <row r="7413" spans="2:2" x14ac:dyDescent="0.25">
      <c r="B7413"/>
    </row>
    <row r="7414" spans="2:2" x14ac:dyDescent="0.25">
      <c r="B7414"/>
    </row>
    <row r="7415" spans="2:2" x14ac:dyDescent="0.25">
      <c r="B7415"/>
    </row>
    <row r="7416" spans="2:2" x14ac:dyDescent="0.25">
      <c r="B7416"/>
    </row>
    <row r="7417" spans="2:2" x14ac:dyDescent="0.25">
      <c r="B7417"/>
    </row>
    <row r="7418" spans="2:2" x14ac:dyDescent="0.25">
      <c r="B7418"/>
    </row>
    <row r="7419" spans="2:2" x14ac:dyDescent="0.25">
      <c r="B7419"/>
    </row>
    <row r="7420" spans="2:2" x14ac:dyDescent="0.25">
      <c r="B7420"/>
    </row>
    <row r="7421" spans="2:2" x14ac:dyDescent="0.25">
      <c r="B7421"/>
    </row>
    <row r="7422" spans="2:2" x14ac:dyDescent="0.25">
      <c r="B7422"/>
    </row>
    <row r="7423" spans="2:2" x14ac:dyDescent="0.25">
      <c r="B7423"/>
    </row>
    <row r="7424" spans="2:2" x14ac:dyDescent="0.25">
      <c r="B7424"/>
    </row>
    <row r="7425" spans="2:2" x14ac:dyDescent="0.25">
      <c r="B7425"/>
    </row>
    <row r="7426" spans="2:2" x14ac:dyDescent="0.25">
      <c r="B7426"/>
    </row>
    <row r="7427" spans="2:2" x14ac:dyDescent="0.25">
      <c r="B7427"/>
    </row>
    <row r="7428" spans="2:2" x14ac:dyDescent="0.25">
      <c r="B7428"/>
    </row>
    <row r="7429" spans="2:2" x14ac:dyDescent="0.25">
      <c r="B7429"/>
    </row>
    <row r="7430" spans="2:2" x14ac:dyDescent="0.25">
      <c r="B7430"/>
    </row>
    <row r="7431" spans="2:2" x14ac:dyDescent="0.25">
      <c r="B7431"/>
    </row>
    <row r="7432" spans="2:2" x14ac:dyDescent="0.25">
      <c r="B7432"/>
    </row>
    <row r="7433" spans="2:2" x14ac:dyDescent="0.25">
      <c r="B7433"/>
    </row>
    <row r="7434" spans="2:2" x14ac:dyDescent="0.25">
      <c r="B7434"/>
    </row>
    <row r="7435" spans="2:2" x14ac:dyDescent="0.25">
      <c r="B7435"/>
    </row>
    <row r="7436" spans="2:2" x14ac:dyDescent="0.25">
      <c r="B7436"/>
    </row>
    <row r="7437" spans="2:2" x14ac:dyDescent="0.25">
      <c r="B7437"/>
    </row>
    <row r="7438" spans="2:2" x14ac:dyDescent="0.25">
      <c r="B7438"/>
    </row>
    <row r="7439" spans="2:2" x14ac:dyDescent="0.25">
      <c r="B7439"/>
    </row>
    <row r="7440" spans="2:2" x14ac:dyDescent="0.25">
      <c r="B7440"/>
    </row>
    <row r="7441" spans="2:2" x14ac:dyDescent="0.25">
      <c r="B7441"/>
    </row>
    <row r="7442" spans="2:2" x14ac:dyDescent="0.25">
      <c r="B7442"/>
    </row>
    <row r="7443" spans="2:2" x14ac:dyDescent="0.25">
      <c r="B7443"/>
    </row>
    <row r="7444" spans="2:2" x14ac:dyDescent="0.25">
      <c r="B7444"/>
    </row>
    <row r="7445" spans="2:2" x14ac:dyDescent="0.25">
      <c r="B7445"/>
    </row>
    <row r="7446" spans="2:2" x14ac:dyDescent="0.25">
      <c r="B7446"/>
    </row>
    <row r="7447" spans="2:2" x14ac:dyDescent="0.25">
      <c r="B7447"/>
    </row>
    <row r="7448" spans="2:2" x14ac:dyDescent="0.25">
      <c r="B7448"/>
    </row>
    <row r="7449" spans="2:2" x14ac:dyDescent="0.25">
      <c r="B7449"/>
    </row>
    <row r="7450" spans="2:2" x14ac:dyDescent="0.25">
      <c r="B7450"/>
    </row>
    <row r="7451" spans="2:2" x14ac:dyDescent="0.25">
      <c r="B7451"/>
    </row>
    <row r="7452" spans="2:2" x14ac:dyDescent="0.25">
      <c r="B7452"/>
    </row>
    <row r="7453" spans="2:2" x14ac:dyDescent="0.25">
      <c r="B7453"/>
    </row>
    <row r="7454" spans="2:2" x14ac:dyDescent="0.25">
      <c r="B7454"/>
    </row>
    <row r="7455" spans="2:2" x14ac:dyDescent="0.25">
      <c r="B7455"/>
    </row>
    <row r="7456" spans="2:2" x14ac:dyDescent="0.25">
      <c r="B7456"/>
    </row>
    <row r="7457" spans="2:2" x14ac:dyDescent="0.25">
      <c r="B7457"/>
    </row>
    <row r="7458" spans="2:2" x14ac:dyDescent="0.25">
      <c r="B7458"/>
    </row>
    <row r="7459" spans="2:2" x14ac:dyDescent="0.25">
      <c r="B7459"/>
    </row>
    <row r="7460" spans="2:2" x14ac:dyDescent="0.25">
      <c r="B7460"/>
    </row>
    <row r="7461" spans="2:2" x14ac:dyDescent="0.25">
      <c r="B7461"/>
    </row>
    <row r="7462" spans="2:2" x14ac:dyDescent="0.25">
      <c r="B7462"/>
    </row>
    <row r="7463" spans="2:2" x14ac:dyDescent="0.25">
      <c r="B7463"/>
    </row>
    <row r="7464" spans="2:2" x14ac:dyDescent="0.25">
      <c r="B7464"/>
    </row>
    <row r="7465" spans="2:2" x14ac:dyDescent="0.25">
      <c r="B7465"/>
    </row>
    <row r="7466" spans="2:2" x14ac:dyDescent="0.25">
      <c r="B7466"/>
    </row>
    <row r="7467" spans="2:2" x14ac:dyDescent="0.25">
      <c r="B7467"/>
    </row>
    <row r="7468" spans="2:2" x14ac:dyDescent="0.25">
      <c r="B7468"/>
    </row>
    <row r="7469" spans="2:2" x14ac:dyDescent="0.25">
      <c r="B7469"/>
    </row>
    <row r="7470" spans="2:2" x14ac:dyDescent="0.25">
      <c r="B7470"/>
    </row>
    <row r="7471" spans="2:2" x14ac:dyDescent="0.25">
      <c r="B7471"/>
    </row>
    <row r="7472" spans="2:2" x14ac:dyDescent="0.25">
      <c r="B7472"/>
    </row>
    <row r="7473" spans="2:2" x14ac:dyDescent="0.25">
      <c r="B7473"/>
    </row>
    <row r="7474" spans="2:2" x14ac:dyDescent="0.25">
      <c r="B7474"/>
    </row>
    <row r="7475" spans="2:2" x14ac:dyDescent="0.25">
      <c r="B7475"/>
    </row>
    <row r="7476" spans="2:2" x14ac:dyDescent="0.25">
      <c r="B7476"/>
    </row>
    <row r="7477" spans="2:2" x14ac:dyDescent="0.25">
      <c r="B7477"/>
    </row>
    <row r="7478" spans="2:2" x14ac:dyDescent="0.25">
      <c r="B7478"/>
    </row>
    <row r="7479" spans="2:2" x14ac:dyDescent="0.25">
      <c r="B7479"/>
    </row>
    <row r="7480" spans="2:2" x14ac:dyDescent="0.25">
      <c r="B7480"/>
    </row>
    <row r="7481" spans="2:2" x14ac:dyDescent="0.25">
      <c r="B7481"/>
    </row>
    <row r="7482" spans="2:2" x14ac:dyDescent="0.25">
      <c r="B7482"/>
    </row>
    <row r="7483" spans="2:2" x14ac:dyDescent="0.25">
      <c r="B7483"/>
    </row>
    <row r="7484" spans="2:2" x14ac:dyDescent="0.25">
      <c r="B7484"/>
    </row>
    <row r="7485" spans="2:2" x14ac:dyDescent="0.25">
      <c r="B7485"/>
    </row>
    <row r="7486" spans="2:2" x14ac:dyDescent="0.25">
      <c r="B7486"/>
    </row>
    <row r="7487" spans="2:2" x14ac:dyDescent="0.25">
      <c r="B7487"/>
    </row>
    <row r="7488" spans="2:2" x14ac:dyDescent="0.25">
      <c r="B7488"/>
    </row>
    <row r="7489" spans="2:2" x14ac:dyDescent="0.25">
      <c r="B7489"/>
    </row>
    <row r="7490" spans="2:2" x14ac:dyDescent="0.25">
      <c r="B7490"/>
    </row>
    <row r="7491" spans="2:2" x14ac:dyDescent="0.25">
      <c r="B7491"/>
    </row>
    <row r="7492" spans="2:2" x14ac:dyDescent="0.25">
      <c r="B7492"/>
    </row>
    <row r="7493" spans="2:2" x14ac:dyDescent="0.25">
      <c r="B7493"/>
    </row>
    <row r="7494" spans="2:2" x14ac:dyDescent="0.25">
      <c r="B7494"/>
    </row>
    <row r="7495" spans="2:2" x14ac:dyDescent="0.25">
      <c r="B7495"/>
    </row>
    <row r="7496" spans="2:2" x14ac:dyDescent="0.25">
      <c r="B7496"/>
    </row>
    <row r="7497" spans="2:2" x14ac:dyDescent="0.25">
      <c r="B7497"/>
    </row>
    <row r="7498" spans="2:2" x14ac:dyDescent="0.25">
      <c r="B7498"/>
    </row>
    <row r="7499" spans="2:2" x14ac:dyDescent="0.25">
      <c r="B7499"/>
    </row>
    <row r="7500" spans="2:2" x14ac:dyDescent="0.25">
      <c r="B7500"/>
    </row>
    <row r="7501" spans="2:2" x14ac:dyDescent="0.25">
      <c r="B7501"/>
    </row>
    <row r="7502" spans="2:2" x14ac:dyDescent="0.25">
      <c r="B7502"/>
    </row>
    <row r="7503" spans="2:2" x14ac:dyDescent="0.25">
      <c r="B7503"/>
    </row>
    <row r="7504" spans="2:2" x14ac:dyDescent="0.25">
      <c r="B7504"/>
    </row>
    <row r="7505" spans="2:2" x14ac:dyDescent="0.25">
      <c r="B7505"/>
    </row>
    <row r="7506" spans="2:2" x14ac:dyDescent="0.25">
      <c r="B7506"/>
    </row>
    <row r="7507" spans="2:2" x14ac:dyDescent="0.25">
      <c r="B7507"/>
    </row>
    <row r="7508" spans="2:2" x14ac:dyDescent="0.25">
      <c r="B7508"/>
    </row>
    <row r="7509" spans="2:2" x14ac:dyDescent="0.25">
      <c r="B7509"/>
    </row>
    <row r="7510" spans="2:2" x14ac:dyDescent="0.25">
      <c r="B7510"/>
    </row>
    <row r="7511" spans="2:2" x14ac:dyDescent="0.25">
      <c r="B7511"/>
    </row>
    <row r="7512" spans="2:2" x14ac:dyDescent="0.25">
      <c r="B7512"/>
    </row>
    <row r="7513" spans="2:2" x14ac:dyDescent="0.25">
      <c r="B7513"/>
    </row>
    <row r="7514" spans="2:2" x14ac:dyDescent="0.25">
      <c r="B7514"/>
    </row>
    <row r="7515" spans="2:2" x14ac:dyDescent="0.25">
      <c r="B7515"/>
    </row>
    <row r="7516" spans="2:2" x14ac:dyDescent="0.25">
      <c r="B7516"/>
    </row>
    <row r="7517" spans="2:2" x14ac:dyDescent="0.25">
      <c r="B7517"/>
    </row>
    <row r="7518" spans="2:2" x14ac:dyDescent="0.25">
      <c r="B7518"/>
    </row>
    <row r="7519" spans="2:2" x14ac:dyDescent="0.25">
      <c r="B7519"/>
    </row>
    <row r="7520" spans="2:2" x14ac:dyDescent="0.25">
      <c r="B7520"/>
    </row>
    <row r="7521" spans="2:2" x14ac:dyDescent="0.25">
      <c r="B7521"/>
    </row>
    <row r="7522" spans="2:2" x14ac:dyDescent="0.25">
      <c r="B7522"/>
    </row>
    <row r="7523" spans="2:2" x14ac:dyDescent="0.25">
      <c r="B7523"/>
    </row>
    <row r="7524" spans="2:2" x14ac:dyDescent="0.25">
      <c r="B7524"/>
    </row>
    <row r="7525" spans="2:2" x14ac:dyDescent="0.25">
      <c r="B7525"/>
    </row>
    <row r="7526" spans="2:2" x14ac:dyDescent="0.25">
      <c r="B7526"/>
    </row>
    <row r="7527" spans="2:2" x14ac:dyDescent="0.25">
      <c r="B7527"/>
    </row>
    <row r="7528" spans="2:2" x14ac:dyDescent="0.25">
      <c r="B7528"/>
    </row>
    <row r="7529" spans="2:2" x14ac:dyDescent="0.25">
      <c r="B7529"/>
    </row>
    <row r="7530" spans="2:2" x14ac:dyDescent="0.25">
      <c r="B7530"/>
    </row>
    <row r="7531" spans="2:2" x14ac:dyDescent="0.25">
      <c r="B7531"/>
    </row>
    <row r="7532" spans="2:2" x14ac:dyDescent="0.25">
      <c r="B7532"/>
    </row>
    <row r="7533" spans="2:2" x14ac:dyDescent="0.25">
      <c r="B7533"/>
    </row>
    <row r="7534" spans="2:2" x14ac:dyDescent="0.25">
      <c r="B7534"/>
    </row>
    <row r="7535" spans="2:2" x14ac:dyDescent="0.25">
      <c r="B7535"/>
    </row>
    <row r="7536" spans="2:2" x14ac:dyDescent="0.25">
      <c r="B7536"/>
    </row>
    <row r="7537" spans="2:2" x14ac:dyDescent="0.25">
      <c r="B7537"/>
    </row>
    <row r="7538" spans="2:2" x14ac:dyDescent="0.25">
      <c r="B7538"/>
    </row>
    <row r="7539" spans="2:2" x14ac:dyDescent="0.25">
      <c r="B7539"/>
    </row>
    <row r="7540" spans="2:2" x14ac:dyDescent="0.25">
      <c r="B7540"/>
    </row>
    <row r="7541" spans="2:2" x14ac:dyDescent="0.25">
      <c r="B7541"/>
    </row>
    <row r="7542" spans="2:2" x14ac:dyDescent="0.25">
      <c r="B7542"/>
    </row>
    <row r="7543" spans="2:2" x14ac:dyDescent="0.25">
      <c r="B7543"/>
    </row>
    <row r="7544" spans="2:2" x14ac:dyDescent="0.25">
      <c r="B7544"/>
    </row>
    <row r="7545" spans="2:2" x14ac:dyDescent="0.25">
      <c r="B7545"/>
    </row>
    <row r="7546" spans="2:2" x14ac:dyDescent="0.25">
      <c r="B7546"/>
    </row>
    <row r="7547" spans="2:2" x14ac:dyDescent="0.25">
      <c r="B7547"/>
    </row>
    <row r="7548" spans="2:2" x14ac:dyDescent="0.25">
      <c r="B7548"/>
    </row>
    <row r="7549" spans="2:2" x14ac:dyDescent="0.25">
      <c r="B7549"/>
    </row>
    <row r="7550" spans="2:2" x14ac:dyDescent="0.25">
      <c r="B7550"/>
    </row>
    <row r="7551" spans="2:2" x14ac:dyDescent="0.25">
      <c r="B7551"/>
    </row>
    <row r="7552" spans="2:2" x14ac:dyDescent="0.25">
      <c r="B7552"/>
    </row>
    <row r="7553" spans="2:2" x14ac:dyDescent="0.25">
      <c r="B7553"/>
    </row>
    <row r="7554" spans="2:2" x14ac:dyDescent="0.25">
      <c r="B7554"/>
    </row>
    <row r="7555" spans="2:2" x14ac:dyDescent="0.25">
      <c r="B7555"/>
    </row>
    <row r="7556" spans="2:2" x14ac:dyDescent="0.25">
      <c r="B7556"/>
    </row>
    <row r="7557" spans="2:2" x14ac:dyDescent="0.25">
      <c r="B7557"/>
    </row>
    <row r="7558" spans="2:2" x14ac:dyDescent="0.25">
      <c r="B7558"/>
    </row>
    <row r="7559" spans="2:2" x14ac:dyDescent="0.25">
      <c r="B7559"/>
    </row>
    <row r="7560" spans="2:2" x14ac:dyDescent="0.25">
      <c r="B7560"/>
    </row>
    <row r="7561" spans="2:2" x14ac:dyDescent="0.25">
      <c r="B7561"/>
    </row>
    <row r="7562" spans="2:2" x14ac:dyDescent="0.25">
      <c r="B7562"/>
    </row>
    <row r="7563" spans="2:2" x14ac:dyDescent="0.25">
      <c r="B7563"/>
    </row>
    <row r="7564" spans="2:2" x14ac:dyDescent="0.25">
      <c r="B7564"/>
    </row>
    <row r="7565" spans="2:2" x14ac:dyDescent="0.25">
      <c r="B7565"/>
    </row>
    <row r="7566" spans="2:2" x14ac:dyDescent="0.25">
      <c r="B7566"/>
    </row>
    <row r="7567" spans="2:2" x14ac:dyDescent="0.25">
      <c r="B7567"/>
    </row>
    <row r="7568" spans="2:2" x14ac:dyDescent="0.25">
      <c r="B7568"/>
    </row>
    <row r="7569" spans="2:2" x14ac:dyDescent="0.25">
      <c r="B7569"/>
    </row>
    <row r="7570" spans="2:2" x14ac:dyDescent="0.25">
      <c r="B7570"/>
    </row>
    <row r="7571" spans="2:2" x14ac:dyDescent="0.25">
      <c r="B7571"/>
    </row>
    <row r="7572" spans="2:2" x14ac:dyDescent="0.25">
      <c r="B7572"/>
    </row>
    <row r="7573" spans="2:2" x14ac:dyDescent="0.25">
      <c r="B7573"/>
    </row>
    <row r="7574" spans="2:2" x14ac:dyDescent="0.25">
      <c r="B7574"/>
    </row>
    <row r="7575" spans="2:2" x14ac:dyDescent="0.25">
      <c r="B7575"/>
    </row>
    <row r="7576" spans="2:2" x14ac:dyDescent="0.25">
      <c r="B7576"/>
    </row>
    <row r="7577" spans="2:2" x14ac:dyDescent="0.25">
      <c r="B7577"/>
    </row>
    <row r="7578" spans="2:2" x14ac:dyDescent="0.25">
      <c r="B7578"/>
    </row>
    <row r="7579" spans="2:2" x14ac:dyDescent="0.25">
      <c r="B7579"/>
    </row>
    <row r="7580" spans="2:2" x14ac:dyDescent="0.25">
      <c r="B7580"/>
    </row>
    <row r="7581" spans="2:2" x14ac:dyDescent="0.25">
      <c r="B7581"/>
    </row>
    <row r="7582" spans="2:2" x14ac:dyDescent="0.25">
      <c r="B7582"/>
    </row>
    <row r="7583" spans="2:2" x14ac:dyDescent="0.25">
      <c r="B7583"/>
    </row>
    <row r="7584" spans="2:2" x14ac:dyDescent="0.25">
      <c r="B7584"/>
    </row>
    <row r="7585" spans="2:2" x14ac:dyDescent="0.25">
      <c r="B7585"/>
    </row>
    <row r="7586" spans="2:2" x14ac:dyDescent="0.25">
      <c r="B7586"/>
    </row>
    <row r="7587" spans="2:2" x14ac:dyDescent="0.25">
      <c r="B7587"/>
    </row>
    <row r="7588" spans="2:2" x14ac:dyDescent="0.25">
      <c r="B7588"/>
    </row>
    <row r="7589" spans="2:2" x14ac:dyDescent="0.25">
      <c r="B7589"/>
    </row>
    <row r="7590" spans="2:2" x14ac:dyDescent="0.25">
      <c r="B7590"/>
    </row>
    <row r="7591" spans="2:2" x14ac:dyDescent="0.25">
      <c r="B7591"/>
    </row>
    <row r="7592" spans="2:2" x14ac:dyDescent="0.25">
      <c r="B7592"/>
    </row>
    <row r="7593" spans="2:2" x14ac:dyDescent="0.25">
      <c r="B7593"/>
    </row>
    <row r="7594" spans="2:2" x14ac:dyDescent="0.25">
      <c r="B7594"/>
    </row>
    <row r="7595" spans="2:2" x14ac:dyDescent="0.25">
      <c r="B7595"/>
    </row>
    <row r="7596" spans="2:2" x14ac:dyDescent="0.25">
      <c r="B7596"/>
    </row>
    <row r="7597" spans="2:2" x14ac:dyDescent="0.25">
      <c r="B7597"/>
    </row>
    <row r="7598" spans="2:2" x14ac:dyDescent="0.25">
      <c r="B7598"/>
    </row>
    <row r="7599" spans="2:2" x14ac:dyDescent="0.25">
      <c r="B7599"/>
    </row>
    <row r="7600" spans="2:2" x14ac:dyDescent="0.25">
      <c r="B7600"/>
    </row>
    <row r="7601" spans="2:2" x14ac:dyDescent="0.25">
      <c r="B7601"/>
    </row>
    <row r="7602" spans="2:2" x14ac:dyDescent="0.25">
      <c r="B7602"/>
    </row>
    <row r="7603" spans="2:2" x14ac:dyDescent="0.25">
      <c r="B7603"/>
    </row>
    <row r="7604" spans="2:2" x14ac:dyDescent="0.25">
      <c r="B7604"/>
    </row>
    <row r="7605" spans="2:2" x14ac:dyDescent="0.25">
      <c r="B7605"/>
    </row>
    <row r="7606" spans="2:2" x14ac:dyDescent="0.25">
      <c r="B7606"/>
    </row>
    <row r="7607" spans="2:2" x14ac:dyDescent="0.25">
      <c r="B7607"/>
    </row>
    <row r="7608" spans="2:2" x14ac:dyDescent="0.25">
      <c r="B7608"/>
    </row>
    <row r="7609" spans="2:2" x14ac:dyDescent="0.25">
      <c r="B7609"/>
    </row>
    <row r="7610" spans="2:2" x14ac:dyDescent="0.25">
      <c r="B7610"/>
    </row>
    <row r="7611" spans="2:2" x14ac:dyDescent="0.25">
      <c r="B7611"/>
    </row>
    <row r="7612" spans="2:2" x14ac:dyDescent="0.25">
      <c r="B7612"/>
    </row>
    <row r="7613" spans="2:2" x14ac:dyDescent="0.25">
      <c r="B7613"/>
    </row>
    <row r="7614" spans="2:2" x14ac:dyDescent="0.25">
      <c r="B7614"/>
    </row>
    <row r="7615" spans="2:2" x14ac:dyDescent="0.25">
      <c r="B7615"/>
    </row>
    <row r="7616" spans="2:2" x14ac:dyDescent="0.25">
      <c r="B7616"/>
    </row>
    <row r="7617" spans="2:2" x14ac:dyDescent="0.25">
      <c r="B7617"/>
    </row>
    <row r="7618" spans="2:2" x14ac:dyDescent="0.25">
      <c r="B7618"/>
    </row>
    <row r="7619" spans="2:2" x14ac:dyDescent="0.25">
      <c r="B7619"/>
    </row>
    <row r="7620" spans="2:2" x14ac:dyDescent="0.25">
      <c r="B7620"/>
    </row>
    <row r="7621" spans="2:2" x14ac:dyDescent="0.25">
      <c r="B7621"/>
    </row>
    <row r="7622" spans="2:2" x14ac:dyDescent="0.25">
      <c r="B7622"/>
    </row>
    <row r="7623" spans="2:2" x14ac:dyDescent="0.25">
      <c r="B7623"/>
    </row>
    <row r="7624" spans="2:2" x14ac:dyDescent="0.25">
      <c r="B7624"/>
    </row>
    <row r="7625" spans="2:2" x14ac:dyDescent="0.25">
      <c r="B7625"/>
    </row>
    <row r="7626" spans="2:2" x14ac:dyDescent="0.25">
      <c r="B7626"/>
    </row>
    <row r="7627" spans="2:2" x14ac:dyDescent="0.25">
      <c r="B7627"/>
    </row>
    <row r="7628" spans="2:2" x14ac:dyDescent="0.25">
      <c r="B7628"/>
    </row>
    <row r="7629" spans="2:2" x14ac:dyDescent="0.25">
      <c r="B7629"/>
    </row>
    <row r="7630" spans="2:2" x14ac:dyDescent="0.25">
      <c r="B7630"/>
    </row>
    <row r="7631" spans="2:2" x14ac:dyDescent="0.25">
      <c r="B7631"/>
    </row>
    <row r="7632" spans="2:2" x14ac:dyDescent="0.25">
      <c r="B7632"/>
    </row>
    <row r="7633" spans="2:2" x14ac:dyDescent="0.25">
      <c r="B7633"/>
    </row>
    <row r="7634" spans="2:2" x14ac:dyDescent="0.25">
      <c r="B7634"/>
    </row>
    <row r="7635" spans="2:2" x14ac:dyDescent="0.25">
      <c r="B7635"/>
    </row>
    <row r="7636" spans="2:2" x14ac:dyDescent="0.25">
      <c r="B7636"/>
    </row>
    <row r="7637" spans="2:2" x14ac:dyDescent="0.25">
      <c r="B7637"/>
    </row>
    <row r="7638" spans="2:2" x14ac:dyDescent="0.25">
      <c r="B7638"/>
    </row>
    <row r="7639" spans="2:2" x14ac:dyDescent="0.25">
      <c r="B7639"/>
    </row>
    <row r="7640" spans="2:2" x14ac:dyDescent="0.25">
      <c r="B7640"/>
    </row>
    <row r="7641" spans="2:2" x14ac:dyDescent="0.25">
      <c r="B7641"/>
    </row>
    <row r="7642" spans="2:2" x14ac:dyDescent="0.25">
      <c r="B7642"/>
    </row>
    <row r="7643" spans="2:2" x14ac:dyDescent="0.25">
      <c r="B7643"/>
    </row>
    <row r="7644" spans="2:2" x14ac:dyDescent="0.25">
      <c r="B7644"/>
    </row>
    <row r="7645" spans="2:2" x14ac:dyDescent="0.25">
      <c r="B7645"/>
    </row>
    <row r="7646" spans="2:2" x14ac:dyDescent="0.25">
      <c r="B7646"/>
    </row>
    <row r="7647" spans="2:2" x14ac:dyDescent="0.25">
      <c r="B7647"/>
    </row>
    <row r="7648" spans="2:2" x14ac:dyDescent="0.25">
      <c r="B7648"/>
    </row>
    <row r="7649" spans="2:2" x14ac:dyDescent="0.25">
      <c r="B7649"/>
    </row>
    <row r="7650" spans="2:2" x14ac:dyDescent="0.25">
      <c r="B7650"/>
    </row>
    <row r="7651" spans="2:2" x14ac:dyDescent="0.25">
      <c r="B7651"/>
    </row>
    <row r="7652" spans="2:2" x14ac:dyDescent="0.25">
      <c r="B7652"/>
    </row>
    <row r="7653" spans="2:2" x14ac:dyDescent="0.25">
      <c r="B7653"/>
    </row>
    <row r="7654" spans="2:2" x14ac:dyDescent="0.25">
      <c r="B7654"/>
    </row>
    <row r="7655" spans="2:2" x14ac:dyDescent="0.25">
      <c r="B7655"/>
    </row>
    <row r="7656" spans="2:2" x14ac:dyDescent="0.25">
      <c r="B7656"/>
    </row>
    <row r="7657" spans="2:2" x14ac:dyDescent="0.25">
      <c r="B7657"/>
    </row>
    <row r="7658" spans="2:2" x14ac:dyDescent="0.25">
      <c r="B7658"/>
    </row>
    <row r="7659" spans="2:2" x14ac:dyDescent="0.25">
      <c r="B7659"/>
    </row>
    <row r="7660" spans="2:2" x14ac:dyDescent="0.25">
      <c r="B7660"/>
    </row>
    <row r="7661" spans="2:2" x14ac:dyDescent="0.25">
      <c r="B7661"/>
    </row>
    <row r="7662" spans="2:2" x14ac:dyDescent="0.25">
      <c r="B7662"/>
    </row>
    <row r="7663" spans="2:2" x14ac:dyDescent="0.25">
      <c r="B7663"/>
    </row>
    <row r="7664" spans="2:2" x14ac:dyDescent="0.25">
      <c r="B7664"/>
    </row>
    <row r="7665" spans="2:2" x14ac:dyDescent="0.25">
      <c r="B7665"/>
    </row>
    <row r="7666" spans="2:2" x14ac:dyDescent="0.25">
      <c r="B7666"/>
    </row>
    <row r="7667" spans="2:2" x14ac:dyDescent="0.25">
      <c r="B7667"/>
    </row>
    <row r="7668" spans="2:2" x14ac:dyDescent="0.25">
      <c r="B7668"/>
    </row>
    <row r="7669" spans="2:2" x14ac:dyDescent="0.25">
      <c r="B7669"/>
    </row>
    <row r="7670" spans="2:2" x14ac:dyDescent="0.25">
      <c r="B7670"/>
    </row>
    <row r="7671" spans="2:2" x14ac:dyDescent="0.25">
      <c r="B7671"/>
    </row>
    <row r="7672" spans="2:2" x14ac:dyDescent="0.25">
      <c r="B7672"/>
    </row>
    <row r="7673" spans="2:2" x14ac:dyDescent="0.25">
      <c r="B7673"/>
    </row>
    <row r="7674" spans="2:2" x14ac:dyDescent="0.25">
      <c r="B7674"/>
    </row>
    <row r="7675" spans="2:2" x14ac:dyDescent="0.25">
      <c r="B7675"/>
    </row>
    <row r="7676" spans="2:2" x14ac:dyDescent="0.25">
      <c r="B7676"/>
    </row>
    <row r="7677" spans="2:2" x14ac:dyDescent="0.25">
      <c r="B7677"/>
    </row>
    <row r="7678" spans="2:2" x14ac:dyDescent="0.25">
      <c r="B7678"/>
    </row>
    <row r="7679" spans="2:2" x14ac:dyDescent="0.25">
      <c r="B7679"/>
    </row>
    <row r="7680" spans="2:2" x14ac:dyDescent="0.25">
      <c r="B7680"/>
    </row>
    <row r="7681" spans="2:2" x14ac:dyDescent="0.25">
      <c r="B7681"/>
    </row>
    <row r="7682" spans="2:2" x14ac:dyDescent="0.25">
      <c r="B7682"/>
    </row>
    <row r="7683" spans="2:2" x14ac:dyDescent="0.25">
      <c r="B7683"/>
    </row>
    <row r="7684" spans="2:2" x14ac:dyDescent="0.25">
      <c r="B7684"/>
    </row>
    <row r="7685" spans="2:2" x14ac:dyDescent="0.25">
      <c r="B7685"/>
    </row>
    <row r="7686" spans="2:2" x14ac:dyDescent="0.25">
      <c r="B7686"/>
    </row>
    <row r="7687" spans="2:2" x14ac:dyDescent="0.25">
      <c r="B7687"/>
    </row>
    <row r="7688" spans="2:2" x14ac:dyDescent="0.25">
      <c r="B7688"/>
    </row>
    <row r="7689" spans="2:2" x14ac:dyDescent="0.25">
      <c r="B7689"/>
    </row>
    <row r="7690" spans="2:2" x14ac:dyDescent="0.25">
      <c r="B7690"/>
    </row>
    <row r="7691" spans="2:2" x14ac:dyDescent="0.25">
      <c r="B7691"/>
    </row>
    <row r="7692" spans="2:2" x14ac:dyDescent="0.25">
      <c r="B7692"/>
    </row>
    <row r="7693" spans="2:2" x14ac:dyDescent="0.25">
      <c r="B7693"/>
    </row>
    <row r="7694" spans="2:2" x14ac:dyDescent="0.25">
      <c r="B7694"/>
    </row>
    <row r="7695" spans="2:2" x14ac:dyDescent="0.25">
      <c r="B7695"/>
    </row>
    <row r="7696" spans="2:2" x14ac:dyDescent="0.25">
      <c r="B7696"/>
    </row>
    <row r="7697" spans="2:2" x14ac:dyDescent="0.25">
      <c r="B7697"/>
    </row>
    <row r="7698" spans="2:2" x14ac:dyDescent="0.25">
      <c r="B7698"/>
    </row>
    <row r="7699" spans="2:2" x14ac:dyDescent="0.25">
      <c r="B7699"/>
    </row>
    <row r="7700" spans="2:2" x14ac:dyDescent="0.25">
      <c r="B7700"/>
    </row>
    <row r="7701" spans="2:2" x14ac:dyDescent="0.25">
      <c r="B7701"/>
    </row>
    <row r="7702" spans="2:2" x14ac:dyDescent="0.25">
      <c r="B7702"/>
    </row>
    <row r="7703" spans="2:2" x14ac:dyDescent="0.25">
      <c r="B7703"/>
    </row>
    <row r="7704" spans="2:2" x14ac:dyDescent="0.25">
      <c r="B7704"/>
    </row>
    <row r="7705" spans="2:2" x14ac:dyDescent="0.25">
      <c r="B7705"/>
    </row>
    <row r="7706" spans="2:2" x14ac:dyDescent="0.25">
      <c r="B7706"/>
    </row>
    <row r="7707" spans="2:2" x14ac:dyDescent="0.25">
      <c r="B7707"/>
    </row>
    <row r="7708" spans="2:2" x14ac:dyDescent="0.25">
      <c r="B7708"/>
    </row>
    <row r="7709" spans="2:2" x14ac:dyDescent="0.25">
      <c r="B7709"/>
    </row>
    <row r="7710" spans="2:2" x14ac:dyDescent="0.25">
      <c r="B7710"/>
    </row>
    <row r="7711" spans="2:2" x14ac:dyDescent="0.25">
      <c r="B7711"/>
    </row>
    <row r="7712" spans="2:2" x14ac:dyDescent="0.25">
      <c r="B7712"/>
    </row>
    <row r="7713" spans="2:2" x14ac:dyDescent="0.25">
      <c r="B7713"/>
    </row>
    <row r="7714" spans="2:2" x14ac:dyDescent="0.25">
      <c r="B7714"/>
    </row>
    <row r="7715" spans="2:2" x14ac:dyDescent="0.25">
      <c r="B7715"/>
    </row>
    <row r="7716" spans="2:2" x14ac:dyDescent="0.25">
      <c r="B7716"/>
    </row>
    <row r="7717" spans="2:2" x14ac:dyDescent="0.25">
      <c r="B7717"/>
    </row>
    <row r="7718" spans="2:2" x14ac:dyDescent="0.25">
      <c r="B7718"/>
    </row>
    <row r="7719" spans="2:2" x14ac:dyDescent="0.25">
      <c r="B7719"/>
    </row>
    <row r="7720" spans="2:2" x14ac:dyDescent="0.25">
      <c r="B7720"/>
    </row>
    <row r="7721" spans="2:2" x14ac:dyDescent="0.25">
      <c r="B7721"/>
    </row>
    <row r="7722" spans="2:2" x14ac:dyDescent="0.25">
      <c r="B7722"/>
    </row>
    <row r="7723" spans="2:2" x14ac:dyDescent="0.25">
      <c r="B7723"/>
    </row>
    <row r="7724" spans="2:2" x14ac:dyDescent="0.25">
      <c r="B7724"/>
    </row>
    <row r="7725" spans="2:2" x14ac:dyDescent="0.25">
      <c r="B7725"/>
    </row>
    <row r="7726" spans="2:2" x14ac:dyDescent="0.25">
      <c r="B7726"/>
    </row>
    <row r="7727" spans="2:2" x14ac:dyDescent="0.25">
      <c r="B7727"/>
    </row>
    <row r="7728" spans="2:2" x14ac:dyDescent="0.25">
      <c r="B7728"/>
    </row>
    <row r="7729" spans="2:2" x14ac:dyDescent="0.25">
      <c r="B7729"/>
    </row>
    <row r="7730" spans="2:2" x14ac:dyDescent="0.25">
      <c r="B7730"/>
    </row>
    <row r="7731" spans="2:2" x14ac:dyDescent="0.25">
      <c r="B7731"/>
    </row>
    <row r="7732" spans="2:2" x14ac:dyDescent="0.25">
      <c r="B7732"/>
    </row>
    <row r="7733" spans="2:2" x14ac:dyDescent="0.25">
      <c r="B7733"/>
    </row>
    <row r="7734" spans="2:2" x14ac:dyDescent="0.25">
      <c r="B7734"/>
    </row>
    <row r="7735" spans="2:2" x14ac:dyDescent="0.25">
      <c r="B7735"/>
    </row>
    <row r="7736" spans="2:2" x14ac:dyDescent="0.25">
      <c r="B7736"/>
    </row>
    <row r="7737" spans="2:2" x14ac:dyDescent="0.25">
      <c r="B7737"/>
    </row>
    <row r="7738" spans="2:2" x14ac:dyDescent="0.25">
      <c r="B7738"/>
    </row>
    <row r="7739" spans="2:2" x14ac:dyDescent="0.25">
      <c r="B7739"/>
    </row>
    <row r="7740" spans="2:2" x14ac:dyDescent="0.25">
      <c r="B7740"/>
    </row>
    <row r="7741" spans="2:2" x14ac:dyDescent="0.25">
      <c r="B7741"/>
    </row>
    <row r="7742" spans="2:2" x14ac:dyDescent="0.25">
      <c r="B7742"/>
    </row>
    <row r="7743" spans="2:2" x14ac:dyDescent="0.25">
      <c r="B7743"/>
    </row>
    <row r="7744" spans="2:2" x14ac:dyDescent="0.25">
      <c r="B7744"/>
    </row>
    <row r="7745" spans="2:2" x14ac:dyDescent="0.25">
      <c r="B7745"/>
    </row>
    <row r="7746" spans="2:2" x14ac:dyDescent="0.25">
      <c r="B7746"/>
    </row>
    <row r="7747" spans="2:2" x14ac:dyDescent="0.25">
      <c r="B7747"/>
    </row>
    <row r="7748" spans="2:2" x14ac:dyDescent="0.25">
      <c r="B7748"/>
    </row>
    <row r="7749" spans="2:2" x14ac:dyDescent="0.25">
      <c r="B7749"/>
    </row>
    <row r="7750" spans="2:2" x14ac:dyDescent="0.25">
      <c r="B7750"/>
    </row>
    <row r="7751" spans="2:2" x14ac:dyDescent="0.25">
      <c r="B7751"/>
    </row>
    <row r="7752" spans="2:2" x14ac:dyDescent="0.25">
      <c r="B7752"/>
    </row>
    <row r="7753" spans="2:2" x14ac:dyDescent="0.25">
      <c r="B7753"/>
    </row>
    <row r="7754" spans="2:2" x14ac:dyDescent="0.25">
      <c r="B7754"/>
    </row>
    <row r="7755" spans="2:2" x14ac:dyDescent="0.25">
      <c r="B7755"/>
    </row>
    <row r="7756" spans="2:2" x14ac:dyDescent="0.25">
      <c r="B7756"/>
    </row>
    <row r="7757" spans="2:2" x14ac:dyDescent="0.25">
      <c r="B7757"/>
    </row>
    <row r="7758" spans="2:2" x14ac:dyDescent="0.25">
      <c r="B7758"/>
    </row>
    <row r="7759" spans="2:2" x14ac:dyDescent="0.25">
      <c r="B7759"/>
    </row>
    <row r="7760" spans="2:2" x14ac:dyDescent="0.25">
      <c r="B7760"/>
    </row>
    <row r="7761" spans="2:2" x14ac:dyDescent="0.25">
      <c r="B7761"/>
    </row>
    <row r="7762" spans="2:2" x14ac:dyDescent="0.25">
      <c r="B7762"/>
    </row>
    <row r="7763" spans="2:2" x14ac:dyDescent="0.25">
      <c r="B7763"/>
    </row>
    <row r="7764" spans="2:2" x14ac:dyDescent="0.25">
      <c r="B7764"/>
    </row>
    <row r="7765" spans="2:2" x14ac:dyDescent="0.25">
      <c r="B7765"/>
    </row>
    <row r="7766" spans="2:2" x14ac:dyDescent="0.25">
      <c r="B7766"/>
    </row>
    <row r="7767" spans="2:2" x14ac:dyDescent="0.25">
      <c r="B7767"/>
    </row>
    <row r="7768" spans="2:2" x14ac:dyDescent="0.25">
      <c r="B7768"/>
    </row>
    <row r="7769" spans="2:2" x14ac:dyDescent="0.25">
      <c r="B7769"/>
    </row>
    <row r="7770" spans="2:2" x14ac:dyDescent="0.25">
      <c r="B7770"/>
    </row>
    <row r="7771" spans="2:2" x14ac:dyDescent="0.25">
      <c r="B7771"/>
    </row>
    <row r="7772" spans="2:2" x14ac:dyDescent="0.25">
      <c r="B7772"/>
    </row>
    <row r="7773" spans="2:2" x14ac:dyDescent="0.25">
      <c r="B7773"/>
    </row>
    <row r="7774" spans="2:2" x14ac:dyDescent="0.25">
      <c r="B7774"/>
    </row>
    <row r="7775" spans="2:2" x14ac:dyDescent="0.25">
      <c r="B7775"/>
    </row>
    <row r="7776" spans="2:2" x14ac:dyDescent="0.25">
      <c r="B7776"/>
    </row>
    <row r="7777" spans="2:2" x14ac:dyDescent="0.25">
      <c r="B7777"/>
    </row>
    <row r="7778" spans="2:2" x14ac:dyDescent="0.25">
      <c r="B7778"/>
    </row>
    <row r="7779" spans="2:2" x14ac:dyDescent="0.25">
      <c r="B7779"/>
    </row>
    <row r="7780" spans="2:2" x14ac:dyDescent="0.25">
      <c r="B7780"/>
    </row>
    <row r="7781" spans="2:2" x14ac:dyDescent="0.25">
      <c r="B7781"/>
    </row>
    <row r="7782" spans="2:2" x14ac:dyDescent="0.25">
      <c r="B7782"/>
    </row>
    <row r="7783" spans="2:2" x14ac:dyDescent="0.25">
      <c r="B7783"/>
    </row>
    <row r="7784" spans="2:2" x14ac:dyDescent="0.25">
      <c r="B7784"/>
    </row>
    <row r="7785" spans="2:2" x14ac:dyDescent="0.25">
      <c r="B7785"/>
    </row>
    <row r="7786" spans="2:2" x14ac:dyDescent="0.25">
      <c r="B7786"/>
    </row>
    <row r="7787" spans="2:2" x14ac:dyDescent="0.25">
      <c r="B7787"/>
    </row>
    <row r="7788" spans="2:2" x14ac:dyDescent="0.25">
      <c r="B7788"/>
    </row>
    <row r="7789" spans="2:2" x14ac:dyDescent="0.25">
      <c r="B7789"/>
    </row>
    <row r="7790" spans="2:2" x14ac:dyDescent="0.25">
      <c r="B7790"/>
    </row>
    <row r="7791" spans="2:2" x14ac:dyDescent="0.25">
      <c r="B7791"/>
    </row>
    <row r="7792" spans="2:2" x14ac:dyDescent="0.25">
      <c r="B7792"/>
    </row>
    <row r="7793" spans="2:2" x14ac:dyDescent="0.25">
      <c r="B7793"/>
    </row>
    <row r="7794" spans="2:2" x14ac:dyDescent="0.25">
      <c r="B7794"/>
    </row>
    <row r="7795" spans="2:2" x14ac:dyDescent="0.25">
      <c r="B7795"/>
    </row>
    <row r="7796" spans="2:2" x14ac:dyDescent="0.25">
      <c r="B7796"/>
    </row>
    <row r="7797" spans="2:2" x14ac:dyDescent="0.25">
      <c r="B7797"/>
    </row>
    <row r="7798" spans="2:2" x14ac:dyDescent="0.25">
      <c r="B7798"/>
    </row>
    <row r="7799" spans="2:2" x14ac:dyDescent="0.25">
      <c r="B7799"/>
    </row>
    <row r="7800" spans="2:2" x14ac:dyDescent="0.25">
      <c r="B7800"/>
    </row>
    <row r="7801" spans="2:2" x14ac:dyDescent="0.25">
      <c r="B7801"/>
    </row>
    <row r="7802" spans="2:2" x14ac:dyDescent="0.25">
      <c r="B7802"/>
    </row>
    <row r="7803" spans="2:2" x14ac:dyDescent="0.25">
      <c r="B7803"/>
    </row>
    <row r="7804" spans="2:2" x14ac:dyDescent="0.25">
      <c r="B7804"/>
    </row>
    <row r="7805" spans="2:2" x14ac:dyDescent="0.25">
      <c r="B7805"/>
    </row>
    <row r="7806" spans="2:2" x14ac:dyDescent="0.25">
      <c r="B7806"/>
    </row>
    <row r="7807" spans="2:2" x14ac:dyDescent="0.25">
      <c r="B7807"/>
    </row>
    <row r="7808" spans="2:2" x14ac:dyDescent="0.25">
      <c r="B7808"/>
    </row>
    <row r="7809" spans="2:2" x14ac:dyDescent="0.25">
      <c r="B7809"/>
    </row>
    <row r="7810" spans="2:2" x14ac:dyDescent="0.25">
      <c r="B7810"/>
    </row>
    <row r="7811" spans="2:2" x14ac:dyDescent="0.25">
      <c r="B7811"/>
    </row>
    <row r="7812" spans="2:2" x14ac:dyDescent="0.25">
      <c r="B7812"/>
    </row>
    <row r="7813" spans="2:2" x14ac:dyDescent="0.25">
      <c r="B7813"/>
    </row>
    <row r="7814" spans="2:2" x14ac:dyDescent="0.25">
      <c r="B7814"/>
    </row>
    <row r="7815" spans="2:2" x14ac:dyDescent="0.25">
      <c r="B7815"/>
    </row>
    <row r="7816" spans="2:2" x14ac:dyDescent="0.25">
      <c r="B7816"/>
    </row>
    <row r="7817" spans="2:2" x14ac:dyDescent="0.25">
      <c r="B7817"/>
    </row>
    <row r="7818" spans="2:2" x14ac:dyDescent="0.25">
      <c r="B7818"/>
    </row>
    <row r="7819" spans="2:2" x14ac:dyDescent="0.25">
      <c r="B7819"/>
    </row>
    <row r="7820" spans="2:2" x14ac:dyDescent="0.25">
      <c r="B7820"/>
    </row>
    <row r="7821" spans="2:2" x14ac:dyDescent="0.25">
      <c r="B7821"/>
    </row>
    <row r="7822" spans="2:2" x14ac:dyDescent="0.25">
      <c r="B7822"/>
    </row>
    <row r="7823" spans="2:2" x14ac:dyDescent="0.25">
      <c r="B7823"/>
    </row>
    <row r="7824" spans="2:2" x14ac:dyDescent="0.25">
      <c r="B7824"/>
    </row>
    <row r="7825" spans="2:2" x14ac:dyDescent="0.25">
      <c r="B7825"/>
    </row>
    <row r="7826" spans="2:2" x14ac:dyDescent="0.25">
      <c r="B7826"/>
    </row>
    <row r="7827" spans="2:2" x14ac:dyDescent="0.25">
      <c r="B7827"/>
    </row>
    <row r="7828" spans="2:2" x14ac:dyDescent="0.25">
      <c r="B7828"/>
    </row>
    <row r="7829" spans="2:2" x14ac:dyDescent="0.25">
      <c r="B7829"/>
    </row>
    <row r="7830" spans="2:2" x14ac:dyDescent="0.25">
      <c r="B7830"/>
    </row>
    <row r="7831" spans="2:2" x14ac:dyDescent="0.25">
      <c r="B7831"/>
    </row>
    <row r="7832" spans="2:2" x14ac:dyDescent="0.25">
      <c r="B7832"/>
    </row>
    <row r="7833" spans="2:2" x14ac:dyDescent="0.25">
      <c r="B7833"/>
    </row>
    <row r="7834" spans="2:2" x14ac:dyDescent="0.25">
      <c r="B7834"/>
    </row>
    <row r="7835" spans="2:2" x14ac:dyDescent="0.25">
      <c r="B7835"/>
    </row>
    <row r="7836" spans="2:2" x14ac:dyDescent="0.25">
      <c r="B7836"/>
    </row>
    <row r="7837" spans="2:2" x14ac:dyDescent="0.25">
      <c r="B7837"/>
    </row>
    <row r="7838" spans="2:2" x14ac:dyDescent="0.25">
      <c r="B7838"/>
    </row>
    <row r="7839" spans="2:2" x14ac:dyDescent="0.25">
      <c r="B7839"/>
    </row>
    <row r="7840" spans="2:2" x14ac:dyDescent="0.25">
      <c r="B7840"/>
    </row>
    <row r="7841" spans="2:2" x14ac:dyDescent="0.25">
      <c r="B7841"/>
    </row>
    <row r="7842" spans="2:2" x14ac:dyDescent="0.25">
      <c r="B7842"/>
    </row>
    <row r="7843" spans="2:2" x14ac:dyDescent="0.25">
      <c r="B7843"/>
    </row>
    <row r="7844" spans="2:2" x14ac:dyDescent="0.25">
      <c r="B7844"/>
    </row>
    <row r="7845" spans="2:2" x14ac:dyDescent="0.25">
      <c r="B7845"/>
    </row>
    <row r="7846" spans="2:2" x14ac:dyDescent="0.25">
      <c r="B7846"/>
    </row>
    <row r="7847" spans="2:2" x14ac:dyDescent="0.25">
      <c r="B7847"/>
    </row>
    <row r="7848" spans="2:2" x14ac:dyDescent="0.25">
      <c r="B7848"/>
    </row>
    <row r="7849" spans="2:2" x14ac:dyDescent="0.25">
      <c r="B7849"/>
    </row>
    <row r="7850" spans="2:2" x14ac:dyDescent="0.25">
      <c r="B7850"/>
    </row>
    <row r="7851" spans="2:2" x14ac:dyDescent="0.25">
      <c r="B7851"/>
    </row>
    <row r="7852" spans="2:2" x14ac:dyDescent="0.25">
      <c r="B7852"/>
    </row>
    <row r="7853" spans="2:2" x14ac:dyDescent="0.25">
      <c r="B7853"/>
    </row>
    <row r="7854" spans="2:2" x14ac:dyDescent="0.25">
      <c r="B7854"/>
    </row>
    <row r="7855" spans="2:2" x14ac:dyDescent="0.25">
      <c r="B7855"/>
    </row>
    <row r="7856" spans="2:2" x14ac:dyDescent="0.25">
      <c r="B7856"/>
    </row>
    <row r="7857" spans="2:2" x14ac:dyDescent="0.25">
      <c r="B7857"/>
    </row>
    <row r="7858" spans="2:2" x14ac:dyDescent="0.25">
      <c r="B7858"/>
    </row>
    <row r="7859" spans="2:2" x14ac:dyDescent="0.25">
      <c r="B7859"/>
    </row>
    <row r="7860" spans="2:2" x14ac:dyDescent="0.25">
      <c r="B7860"/>
    </row>
    <row r="7861" spans="2:2" x14ac:dyDescent="0.25">
      <c r="B7861"/>
    </row>
    <row r="7862" spans="2:2" x14ac:dyDescent="0.25">
      <c r="B7862"/>
    </row>
    <row r="7863" spans="2:2" x14ac:dyDescent="0.25">
      <c r="B7863"/>
    </row>
    <row r="7864" spans="2:2" x14ac:dyDescent="0.25">
      <c r="B7864"/>
    </row>
    <row r="7865" spans="2:2" x14ac:dyDescent="0.25">
      <c r="B7865"/>
    </row>
    <row r="7866" spans="2:2" x14ac:dyDescent="0.25">
      <c r="B7866"/>
    </row>
    <row r="7867" spans="2:2" x14ac:dyDescent="0.25">
      <c r="B7867"/>
    </row>
    <row r="7868" spans="2:2" x14ac:dyDescent="0.25">
      <c r="B7868"/>
    </row>
    <row r="7869" spans="2:2" x14ac:dyDescent="0.25">
      <c r="B7869"/>
    </row>
    <row r="7870" spans="2:2" x14ac:dyDescent="0.25">
      <c r="B7870"/>
    </row>
    <row r="7871" spans="2:2" x14ac:dyDescent="0.25">
      <c r="B7871"/>
    </row>
    <row r="7872" spans="2:2" x14ac:dyDescent="0.25">
      <c r="B7872"/>
    </row>
    <row r="7873" spans="2:2" x14ac:dyDescent="0.25">
      <c r="B7873"/>
    </row>
    <row r="7874" spans="2:2" x14ac:dyDescent="0.25">
      <c r="B7874"/>
    </row>
    <row r="7875" spans="2:2" x14ac:dyDescent="0.25">
      <c r="B7875"/>
    </row>
    <row r="7876" spans="2:2" x14ac:dyDescent="0.25">
      <c r="B7876"/>
    </row>
    <row r="7877" spans="2:2" x14ac:dyDescent="0.25">
      <c r="B7877"/>
    </row>
    <row r="7878" spans="2:2" x14ac:dyDescent="0.25">
      <c r="B7878"/>
    </row>
    <row r="7879" spans="2:2" x14ac:dyDescent="0.25">
      <c r="B7879"/>
    </row>
    <row r="7880" spans="2:2" x14ac:dyDescent="0.25">
      <c r="B7880"/>
    </row>
    <row r="7881" spans="2:2" x14ac:dyDescent="0.25">
      <c r="B7881"/>
    </row>
    <row r="7882" spans="2:2" x14ac:dyDescent="0.25">
      <c r="B7882"/>
    </row>
    <row r="7883" spans="2:2" x14ac:dyDescent="0.25">
      <c r="B7883"/>
    </row>
    <row r="7884" spans="2:2" x14ac:dyDescent="0.25">
      <c r="B7884"/>
    </row>
    <row r="7885" spans="2:2" x14ac:dyDescent="0.25">
      <c r="B7885"/>
    </row>
    <row r="7886" spans="2:2" x14ac:dyDescent="0.25">
      <c r="B7886"/>
    </row>
    <row r="7887" spans="2:2" x14ac:dyDescent="0.25">
      <c r="B7887"/>
    </row>
    <row r="7888" spans="2:2" x14ac:dyDescent="0.25">
      <c r="B7888"/>
    </row>
    <row r="7889" spans="2:2" x14ac:dyDescent="0.25">
      <c r="B7889"/>
    </row>
    <row r="7890" spans="2:2" x14ac:dyDescent="0.25">
      <c r="B7890"/>
    </row>
    <row r="7891" spans="2:2" x14ac:dyDescent="0.25">
      <c r="B7891"/>
    </row>
    <row r="7892" spans="2:2" x14ac:dyDescent="0.25">
      <c r="B7892"/>
    </row>
    <row r="7893" spans="2:2" x14ac:dyDescent="0.25">
      <c r="B7893"/>
    </row>
    <row r="7894" spans="2:2" x14ac:dyDescent="0.25">
      <c r="B7894"/>
    </row>
    <row r="7895" spans="2:2" x14ac:dyDescent="0.25">
      <c r="B7895"/>
    </row>
    <row r="7896" spans="2:2" x14ac:dyDescent="0.25">
      <c r="B7896"/>
    </row>
    <row r="7897" spans="2:2" x14ac:dyDescent="0.25">
      <c r="B7897"/>
    </row>
    <row r="7898" spans="2:2" x14ac:dyDescent="0.25">
      <c r="B7898"/>
    </row>
    <row r="7899" spans="2:2" x14ac:dyDescent="0.25">
      <c r="B7899"/>
    </row>
    <row r="7900" spans="2:2" x14ac:dyDescent="0.25">
      <c r="B7900"/>
    </row>
    <row r="7901" spans="2:2" x14ac:dyDescent="0.25">
      <c r="B7901"/>
    </row>
    <row r="7902" spans="2:2" x14ac:dyDescent="0.25">
      <c r="B7902"/>
    </row>
    <row r="7903" spans="2:2" x14ac:dyDescent="0.25">
      <c r="B7903"/>
    </row>
    <row r="7904" spans="2:2" x14ac:dyDescent="0.25">
      <c r="B7904"/>
    </row>
    <row r="7905" spans="2:2" x14ac:dyDescent="0.25">
      <c r="B7905"/>
    </row>
    <row r="7906" spans="2:2" x14ac:dyDescent="0.25">
      <c r="B7906"/>
    </row>
    <row r="7907" spans="2:2" x14ac:dyDescent="0.25">
      <c r="B7907"/>
    </row>
    <row r="7908" spans="2:2" x14ac:dyDescent="0.25">
      <c r="B7908"/>
    </row>
    <row r="7909" spans="2:2" x14ac:dyDescent="0.25">
      <c r="B7909"/>
    </row>
    <row r="7910" spans="2:2" x14ac:dyDescent="0.25">
      <c r="B7910"/>
    </row>
    <row r="7911" spans="2:2" x14ac:dyDescent="0.25">
      <c r="B7911"/>
    </row>
    <row r="7912" spans="2:2" x14ac:dyDescent="0.25">
      <c r="B7912"/>
    </row>
    <row r="7913" spans="2:2" x14ac:dyDescent="0.25">
      <c r="B7913"/>
    </row>
    <row r="7914" spans="2:2" x14ac:dyDescent="0.25">
      <c r="B7914"/>
    </row>
    <row r="7915" spans="2:2" x14ac:dyDescent="0.25">
      <c r="B7915"/>
    </row>
    <row r="7916" spans="2:2" x14ac:dyDescent="0.25">
      <c r="B7916"/>
    </row>
    <row r="7917" spans="2:2" x14ac:dyDescent="0.25">
      <c r="B7917"/>
    </row>
    <row r="7918" spans="2:2" x14ac:dyDescent="0.25">
      <c r="B7918"/>
    </row>
    <row r="7919" spans="2:2" x14ac:dyDescent="0.25">
      <c r="B7919"/>
    </row>
    <row r="7920" spans="2:2" x14ac:dyDescent="0.25">
      <c r="B7920"/>
    </row>
    <row r="7921" spans="2:2" x14ac:dyDescent="0.25">
      <c r="B7921"/>
    </row>
    <row r="7922" spans="2:2" x14ac:dyDescent="0.25">
      <c r="B7922"/>
    </row>
    <row r="7923" spans="2:2" x14ac:dyDescent="0.25">
      <c r="B7923"/>
    </row>
    <row r="7924" spans="2:2" x14ac:dyDescent="0.25">
      <c r="B7924"/>
    </row>
    <row r="7925" spans="2:2" x14ac:dyDescent="0.25">
      <c r="B7925"/>
    </row>
    <row r="7926" spans="2:2" x14ac:dyDescent="0.25">
      <c r="B7926"/>
    </row>
    <row r="7927" spans="2:2" x14ac:dyDescent="0.25">
      <c r="B7927"/>
    </row>
    <row r="7928" spans="2:2" x14ac:dyDescent="0.25">
      <c r="B7928"/>
    </row>
    <row r="7929" spans="2:2" x14ac:dyDescent="0.25">
      <c r="B7929"/>
    </row>
    <row r="7930" spans="2:2" x14ac:dyDescent="0.25">
      <c r="B7930"/>
    </row>
    <row r="7931" spans="2:2" x14ac:dyDescent="0.25">
      <c r="B7931"/>
    </row>
    <row r="7932" spans="2:2" x14ac:dyDescent="0.25">
      <c r="B7932"/>
    </row>
    <row r="7933" spans="2:2" x14ac:dyDescent="0.25">
      <c r="B7933"/>
    </row>
    <row r="7934" spans="2:2" x14ac:dyDescent="0.25">
      <c r="B7934"/>
    </row>
    <row r="7935" spans="2:2" x14ac:dyDescent="0.25">
      <c r="B7935"/>
    </row>
    <row r="7936" spans="2:2" x14ac:dyDescent="0.25">
      <c r="B7936"/>
    </row>
    <row r="7937" spans="2:2" x14ac:dyDescent="0.25">
      <c r="B7937"/>
    </row>
    <row r="7938" spans="2:2" x14ac:dyDescent="0.25">
      <c r="B7938"/>
    </row>
    <row r="7939" spans="2:2" x14ac:dyDescent="0.25">
      <c r="B7939"/>
    </row>
    <row r="7940" spans="2:2" x14ac:dyDescent="0.25">
      <c r="B7940"/>
    </row>
    <row r="7941" spans="2:2" x14ac:dyDescent="0.25">
      <c r="B7941"/>
    </row>
    <row r="7942" spans="2:2" x14ac:dyDescent="0.25">
      <c r="B7942"/>
    </row>
    <row r="7943" spans="2:2" x14ac:dyDescent="0.25">
      <c r="B7943"/>
    </row>
    <row r="7944" spans="2:2" x14ac:dyDescent="0.25">
      <c r="B7944"/>
    </row>
    <row r="7945" spans="2:2" x14ac:dyDescent="0.25">
      <c r="B7945"/>
    </row>
    <row r="7946" spans="2:2" x14ac:dyDescent="0.25">
      <c r="B7946"/>
    </row>
    <row r="7947" spans="2:2" x14ac:dyDescent="0.25">
      <c r="B7947"/>
    </row>
    <row r="7948" spans="2:2" x14ac:dyDescent="0.25">
      <c r="B7948"/>
    </row>
    <row r="7949" spans="2:2" x14ac:dyDescent="0.25">
      <c r="B7949"/>
    </row>
    <row r="7950" spans="2:2" x14ac:dyDescent="0.25">
      <c r="B7950"/>
    </row>
    <row r="7951" spans="2:2" x14ac:dyDescent="0.25">
      <c r="B7951"/>
    </row>
    <row r="7952" spans="2:2" x14ac:dyDescent="0.25">
      <c r="B7952"/>
    </row>
    <row r="7953" spans="2:2" x14ac:dyDescent="0.25">
      <c r="B7953"/>
    </row>
    <row r="7954" spans="2:2" x14ac:dyDescent="0.25">
      <c r="B7954"/>
    </row>
    <row r="7955" spans="2:2" x14ac:dyDescent="0.25">
      <c r="B7955"/>
    </row>
    <row r="7956" spans="2:2" x14ac:dyDescent="0.25">
      <c r="B7956"/>
    </row>
    <row r="7957" spans="2:2" x14ac:dyDescent="0.25">
      <c r="B7957"/>
    </row>
    <row r="7958" spans="2:2" x14ac:dyDescent="0.25">
      <c r="B7958"/>
    </row>
    <row r="7959" spans="2:2" x14ac:dyDescent="0.25">
      <c r="B7959"/>
    </row>
    <row r="7960" spans="2:2" x14ac:dyDescent="0.25">
      <c r="B7960"/>
    </row>
    <row r="7961" spans="2:2" x14ac:dyDescent="0.25">
      <c r="B7961"/>
    </row>
    <row r="7962" spans="2:2" x14ac:dyDescent="0.25">
      <c r="B7962"/>
    </row>
    <row r="7963" spans="2:2" x14ac:dyDescent="0.25">
      <c r="B7963"/>
    </row>
    <row r="7964" spans="2:2" x14ac:dyDescent="0.25">
      <c r="B7964"/>
    </row>
    <row r="7965" spans="2:2" x14ac:dyDescent="0.25">
      <c r="B7965"/>
    </row>
    <row r="7966" spans="2:2" x14ac:dyDescent="0.25">
      <c r="B7966"/>
    </row>
    <row r="7967" spans="2:2" x14ac:dyDescent="0.25">
      <c r="B7967"/>
    </row>
    <row r="7968" spans="2:2" x14ac:dyDescent="0.25">
      <c r="B7968"/>
    </row>
    <row r="7969" spans="2:2" x14ac:dyDescent="0.25">
      <c r="B7969"/>
    </row>
    <row r="7970" spans="2:2" x14ac:dyDescent="0.25">
      <c r="B7970"/>
    </row>
    <row r="7971" spans="2:2" x14ac:dyDescent="0.25">
      <c r="B7971"/>
    </row>
    <row r="7972" spans="2:2" x14ac:dyDescent="0.25">
      <c r="B7972"/>
    </row>
    <row r="7973" spans="2:2" x14ac:dyDescent="0.25">
      <c r="B7973"/>
    </row>
    <row r="7974" spans="2:2" x14ac:dyDescent="0.25">
      <c r="B7974"/>
    </row>
    <row r="7975" spans="2:2" x14ac:dyDescent="0.25">
      <c r="B7975"/>
    </row>
    <row r="7976" spans="2:2" x14ac:dyDescent="0.25">
      <c r="B7976"/>
    </row>
    <row r="7977" spans="2:2" x14ac:dyDescent="0.25">
      <c r="B7977"/>
    </row>
    <row r="7978" spans="2:2" x14ac:dyDescent="0.25">
      <c r="B7978"/>
    </row>
    <row r="7979" spans="2:2" x14ac:dyDescent="0.25">
      <c r="B7979"/>
    </row>
    <row r="7980" spans="2:2" x14ac:dyDescent="0.25">
      <c r="B7980"/>
    </row>
    <row r="7981" spans="2:2" x14ac:dyDescent="0.25">
      <c r="B7981"/>
    </row>
    <row r="7982" spans="2:2" x14ac:dyDescent="0.25">
      <c r="B7982"/>
    </row>
    <row r="7983" spans="2:2" x14ac:dyDescent="0.25">
      <c r="B7983"/>
    </row>
    <row r="7984" spans="2:2" x14ac:dyDescent="0.25">
      <c r="B7984"/>
    </row>
    <row r="7985" spans="2:2" x14ac:dyDescent="0.25">
      <c r="B7985"/>
    </row>
    <row r="7986" spans="2:2" x14ac:dyDescent="0.25">
      <c r="B7986"/>
    </row>
    <row r="7987" spans="2:2" x14ac:dyDescent="0.25">
      <c r="B7987"/>
    </row>
    <row r="7988" spans="2:2" x14ac:dyDescent="0.25">
      <c r="B7988"/>
    </row>
    <row r="7989" spans="2:2" x14ac:dyDescent="0.25">
      <c r="B7989"/>
    </row>
    <row r="7990" spans="2:2" x14ac:dyDescent="0.25">
      <c r="B7990"/>
    </row>
    <row r="7991" spans="2:2" x14ac:dyDescent="0.25">
      <c r="B7991"/>
    </row>
    <row r="7992" spans="2:2" x14ac:dyDescent="0.25">
      <c r="B7992"/>
    </row>
    <row r="7993" spans="2:2" x14ac:dyDescent="0.25">
      <c r="B7993"/>
    </row>
    <row r="7994" spans="2:2" x14ac:dyDescent="0.25">
      <c r="B7994"/>
    </row>
    <row r="7995" spans="2:2" x14ac:dyDescent="0.25">
      <c r="B7995"/>
    </row>
    <row r="7996" spans="2:2" x14ac:dyDescent="0.25">
      <c r="B7996"/>
    </row>
    <row r="7997" spans="2:2" x14ac:dyDescent="0.25">
      <c r="B7997"/>
    </row>
    <row r="7998" spans="2:2" x14ac:dyDescent="0.25">
      <c r="B7998"/>
    </row>
    <row r="7999" spans="2:2" x14ac:dyDescent="0.25">
      <c r="B7999"/>
    </row>
    <row r="8000" spans="2:2" x14ac:dyDescent="0.25">
      <c r="B8000"/>
    </row>
    <row r="8001" spans="2:2" x14ac:dyDescent="0.25">
      <c r="B8001"/>
    </row>
    <row r="8002" spans="2:2" x14ac:dyDescent="0.25">
      <c r="B8002"/>
    </row>
    <row r="8003" spans="2:2" x14ac:dyDescent="0.25">
      <c r="B8003"/>
    </row>
    <row r="8004" spans="2:2" x14ac:dyDescent="0.25">
      <c r="B8004"/>
    </row>
    <row r="8005" spans="2:2" x14ac:dyDescent="0.25">
      <c r="B8005"/>
    </row>
    <row r="8006" spans="2:2" x14ac:dyDescent="0.25">
      <c r="B8006"/>
    </row>
    <row r="8007" spans="2:2" x14ac:dyDescent="0.25">
      <c r="B8007"/>
    </row>
    <row r="8008" spans="2:2" x14ac:dyDescent="0.25">
      <c r="B8008"/>
    </row>
    <row r="8009" spans="2:2" x14ac:dyDescent="0.25">
      <c r="B8009"/>
    </row>
    <row r="8010" spans="2:2" x14ac:dyDescent="0.25">
      <c r="B8010"/>
    </row>
    <row r="8011" spans="2:2" x14ac:dyDescent="0.25">
      <c r="B8011"/>
    </row>
    <row r="8012" spans="2:2" x14ac:dyDescent="0.25">
      <c r="B8012"/>
    </row>
    <row r="8013" spans="2:2" x14ac:dyDescent="0.25">
      <c r="B8013"/>
    </row>
    <row r="8014" spans="2:2" x14ac:dyDescent="0.25">
      <c r="B8014"/>
    </row>
    <row r="8015" spans="2:2" x14ac:dyDescent="0.25">
      <c r="B8015"/>
    </row>
    <row r="8016" spans="2:2" x14ac:dyDescent="0.25">
      <c r="B8016"/>
    </row>
    <row r="8017" spans="2:2" x14ac:dyDescent="0.25">
      <c r="B8017"/>
    </row>
    <row r="8018" spans="2:2" x14ac:dyDescent="0.25">
      <c r="B8018"/>
    </row>
    <row r="8019" spans="2:2" x14ac:dyDescent="0.25">
      <c r="B8019"/>
    </row>
    <row r="8020" spans="2:2" x14ac:dyDescent="0.25">
      <c r="B8020"/>
    </row>
    <row r="8021" spans="2:2" x14ac:dyDescent="0.25">
      <c r="B8021"/>
    </row>
    <row r="8022" spans="2:2" x14ac:dyDescent="0.25">
      <c r="B8022"/>
    </row>
    <row r="8023" spans="2:2" x14ac:dyDescent="0.25">
      <c r="B8023"/>
    </row>
    <row r="8024" spans="2:2" x14ac:dyDescent="0.25">
      <c r="B8024"/>
    </row>
    <row r="8025" spans="2:2" x14ac:dyDescent="0.25">
      <c r="B8025"/>
    </row>
    <row r="8026" spans="2:2" x14ac:dyDescent="0.25">
      <c r="B8026"/>
    </row>
    <row r="8027" spans="2:2" x14ac:dyDescent="0.25">
      <c r="B8027"/>
    </row>
    <row r="8028" spans="2:2" x14ac:dyDescent="0.25">
      <c r="B8028"/>
    </row>
    <row r="8029" spans="2:2" x14ac:dyDescent="0.25">
      <c r="B8029"/>
    </row>
    <row r="8030" spans="2:2" x14ac:dyDescent="0.25">
      <c r="B8030"/>
    </row>
    <row r="8031" spans="2:2" x14ac:dyDescent="0.25">
      <c r="B8031"/>
    </row>
    <row r="8032" spans="2:2" x14ac:dyDescent="0.25">
      <c r="B8032"/>
    </row>
    <row r="8033" spans="2:2" x14ac:dyDescent="0.25">
      <c r="B8033"/>
    </row>
    <row r="8034" spans="2:2" x14ac:dyDescent="0.25">
      <c r="B8034"/>
    </row>
    <row r="8035" spans="2:2" x14ac:dyDescent="0.25">
      <c r="B8035"/>
    </row>
    <row r="8036" spans="2:2" x14ac:dyDescent="0.25">
      <c r="B8036"/>
    </row>
    <row r="8037" spans="2:2" x14ac:dyDescent="0.25">
      <c r="B8037"/>
    </row>
    <row r="8038" spans="2:2" x14ac:dyDescent="0.25">
      <c r="B8038"/>
    </row>
    <row r="8039" spans="2:2" x14ac:dyDescent="0.25">
      <c r="B8039"/>
    </row>
    <row r="8040" spans="2:2" x14ac:dyDescent="0.25">
      <c r="B8040"/>
    </row>
    <row r="8041" spans="2:2" x14ac:dyDescent="0.25">
      <c r="B8041"/>
    </row>
    <row r="8042" spans="2:2" x14ac:dyDescent="0.25">
      <c r="B8042"/>
    </row>
    <row r="8043" spans="2:2" x14ac:dyDescent="0.25">
      <c r="B8043"/>
    </row>
    <row r="8044" spans="2:2" x14ac:dyDescent="0.25">
      <c r="B8044"/>
    </row>
    <row r="8045" spans="2:2" x14ac:dyDescent="0.25">
      <c r="B8045"/>
    </row>
    <row r="8046" spans="2:2" x14ac:dyDescent="0.25">
      <c r="B8046"/>
    </row>
    <row r="8047" spans="2:2" x14ac:dyDescent="0.25">
      <c r="B8047"/>
    </row>
    <row r="8048" spans="2:2" x14ac:dyDescent="0.25">
      <c r="B8048"/>
    </row>
    <row r="8049" spans="2:2" x14ac:dyDescent="0.25">
      <c r="B8049"/>
    </row>
    <row r="8050" spans="2:2" x14ac:dyDescent="0.25">
      <c r="B8050"/>
    </row>
    <row r="8051" spans="2:2" x14ac:dyDescent="0.25">
      <c r="B8051"/>
    </row>
    <row r="8052" spans="2:2" x14ac:dyDescent="0.25">
      <c r="B8052"/>
    </row>
    <row r="8053" spans="2:2" x14ac:dyDescent="0.25">
      <c r="B8053"/>
    </row>
    <row r="8054" spans="2:2" x14ac:dyDescent="0.25">
      <c r="B8054"/>
    </row>
    <row r="8055" spans="2:2" x14ac:dyDescent="0.25">
      <c r="B8055"/>
    </row>
    <row r="8056" spans="2:2" x14ac:dyDescent="0.25">
      <c r="B8056"/>
    </row>
    <row r="8057" spans="2:2" x14ac:dyDescent="0.25">
      <c r="B8057"/>
    </row>
    <row r="8058" spans="2:2" x14ac:dyDescent="0.25">
      <c r="B8058"/>
    </row>
    <row r="8059" spans="2:2" x14ac:dyDescent="0.25">
      <c r="B8059"/>
    </row>
    <row r="8060" spans="2:2" x14ac:dyDescent="0.25">
      <c r="B8060"/>
    </row>
    <row r="8061" spans="2:2" x14ac:dyDescent="0.25">
      <c r="B8061"/>
    </row>
    <row r="8062" spans="2:2" x14ac:dyDescent="0.25">
      <c r="B8062"/>
    </row>
    <row r="8063" spans="2:2" x14ac:dyDescent="0.25">
      <c r="B8063"/>
    </row>
    <row r="8064" spans="2:2" x14ac:dyDescent="0.25">
      <c r="B8064"/>
    </row>
    <row r="8065" spans="2:2" x14ac:dyDescent="0.25">
      <c r="B8065"/>
    </row>
    <row r="8066" spans="2:2" x14ac:dyDescent="0.25">
      <c r="B8066"/>
    </row>
    <row r="8067" spans="2:2" x14ac:dyDescent="0.25">
      <c r="B8067"/>
    </row>
    <row r="8068" spans="2:2" x14ac:dyDescent="0.25">
      <c r="B8068"/>
    </row>
    <row r="8069" spans="2:2" x14ac:dyDescent="0.25">
      <c r="B8069"/>
    </row>
    <row r="8070" spans="2:2" x14ac:dyDescent="0.25">
      <c r="B8070"/>
    </row>
    <row r="8071" spans="2:2" x14ac:dyDescent="0.25">
      <c r="B8071"/>
    </row>
    <row r="8072" spans="2:2" x14ac:dyDescent="0.25">
      <c r="B8072"/>
    </row>
    <row r="8073" spans="2:2" x14ac:dyDescent="0.25">
      <c r="B8073"/>
    </row>
    <row r="8074" spans="2:2" x14ac:dyDescent="0.25">
      <c r="B8074"/>
    </row>
    <row r="8075" spans="2:2" x14ac:dyDescent="0.25">
      <c r="B8075"/>
    </row>
    <row r="8076" spans="2:2" x14ac:dyDescent="0.25">
      <c r="B8076"/>
    </row>
    <row r="8077" spans="2:2" x14ac:dyDescent="0.25">
      <c r="B8077"/>
    </row>
    <row r="8078" spans="2:2" x14ac:dyDescent="0.25">
      <c r="B8078"/>
    </row>
    <row r="8079" spans="2:2" x14ac:dyDescent="0.25">
      <c r="B8079"/>
    </row>
    <row r="8080" spans="2:2" x14ac:dyDescent="0.25">
      <c r="B8080"/>
    </row>
    <row r="8081" spans="2:2" x14ac:dyDescent="0.25">
      <c r="B8081"/>
    </row>
    <row r="8082" spans="2:2" x14ac:dyDescent="0.25">
      <c r="B8082"/>
    </row>
    <row r="8083" spans="2:2" x14ac:dyDescent="0.25">
      <c r="B8083"/>
    </row>
    <row r="8084" spans="2:2" x14ac:dyDescent="0.25">
      <c r="B8084"/>
    </row>
    <row r="8085" spans="2:2" x14ac:dyDescent="0.25">
      <c r="B8085"/>
    </row>
    <row r="8086" spans="2:2" x14ac:dyDescent="0.25">
      <c r="B8086"/>
    </row>
    <row r="8087" spans="2:2" x14ac:dyDescent="0.25">
      <c r="B8087"/>
    </row>
    <row r="8088" spans="2:2" x14ac:dyDescent="0.25">
      <c r="B8088"/>
    </row>
    <row r="8089" spans="2:2" x14ac:dyDescent="0.25">
      <c r="B8089"/>
    </row>
    <row r="8090" spans="2:2" x14ac:dyDescent="0.25">
      <c r="B8090"/>
    </row>
    <row r="8091" spans="2:2" x14ac:dyDescent="0.25">
      <c r="B8091"/>
    </row>
    <row r="8092" spans="2:2" x14ac:dyDescent="0.25">
      <c r="B8092"/>
    </row>
    <row r="8093" spans="2:2" x14ac:dyDescent="0.25">
      <c r="B8093"/>
    </row>
    <row r="8094" spans="2:2" x14ac:dyDescent="0.25">
      <c r="B8094"/>
    </row>
    <row r="8095" spans="2:2" x14ac:dyDescent="0.25">
      <c r="B8095"/>
    </row>
    <row r="8096" spans="2:2" x14ac:dyDescent="0.25">
      <c r="B8096"/>
    </row>
    <row r="8097" spans="2:2" x14ac:dyDescent="0.25">
      <c r="B8097"/>
    </row>
    <row r="8098" spans="2:2" x14ac:dyDescent="0.25">
      <c r="B8098"/>
    </row>
    <row r="8099" spans="2:2" x14ac:dyDescent="0.25">
      <c r="B8099"/>
    </row>
    <row r="8100" spans="2:2" x14ac:dyDescent="0.25">
      <c r="B8100"/>
    </row>
    <row r="8101" spans="2:2" x14ac:dyDescent="0.25">
      <c r="B8101"/>
    </row>
    <row r="8102" spans="2:2" x14ac:dyDescent="0.25">
      <c r="B8102"/>
    </row>
    <row r="8103" spans="2:2" x14ac:dyDescent="0.25">
      <c r="B8103"/>
    </row>
    <row r="8104" spans="2:2" x14ac:dyDescent="0.25">
      <c r="B8104"/>
    </row>
    <row r="8105" spans="2:2" x14ac:dyDescent="0.25">
      <c r="B8105"/>
    </row>
    <row r="8106" spans="2:2" x14ac:dyDescent="0.25">
      <c r="B8106"/>
    </row>
    <row r="8107" spans="2:2" x14ac:dyDescent="0.25">
      <c r="B8107"/>
    </row>
    <row r="8108" spans="2:2" x14ac:dyDescent="0.25">
      <c r="B8108"/>
    </row>
    <row r="8109" spans="2:2" x14ac:dyDescent="0.25">
      <c r="B8109"/>
    </row>
    <row r="8110" spans="2:2" x14ac:dyDescent="0.25">
      <c r="B8110"/>
    </row>
    <row r="8111" spans="2:2" x14ac:dyDescent="0.25">
      <c r="B8111"/>
    </row>
    <row r="8112" spans="2:2" x14ac:dyDescent="0.25">
      <c r="B8112"/>
    </row>
    <row r="8113" spans="2:2" x14ac:dyDescent="0.25">
      <c r="B8113"/>
    </row>
    <row r="8114" spans="2:2" x14ac:dyDescent="0.25">
      <c r="B8114"/>
    </row>
    <row r="8115" spans="2:2" x14ac:dyDescent="0.25">
      <c r="B8115"/>
    </row>
    <row r="8116" spans="2:2" x14ac:dyDescent="0.25">
      <c r="B8116"/>
    </row>
    <row r="8117" spans="2:2" x14ac:dyDescent="0.25">
      <c r="B8117"/>
    </row>
    <row r="8118" spans="2:2" x14ac:dyDescent="0.25">
      <c r="B8118"/>
    </row>
    <row r="8119" spans="2:2" x14ac:dyDescent="0.25">
      <c r="B8119"/>
    </row>
    <row r="8120" spans="2:2" x14ac:dyDescent="0.25">
      <c r="B8120"/>
    </row>
    <row r="8121" spans="2:2" x14ac:dyDescent="0.25">
      <c r="B8121"/>
    </row>
    <row r="8122" spans="2:2" x14ac:dyDescent="0.25">
      <c r="B8122"/>
    </row>
    <row r="8123" spans="2:2" x14ac:dyDescent="0.25">
      <c r="B8123"/>
    </row>
    <row r="8124" spans="2:2" x14ac:dyDescent="0.25">
      <c r="B8124"/>
    </row>
    <row r="8125" spans="2:2" x14ac:dyDescent="0.25">
      <c r="B8125"/>
    </row>
    <row r="8126" spans="2:2" x14ac:dyDescent="0.25">
      <c r="B8126"/>
    </row>
    <row r="8127" spans="2:2" x14ac:dyDescent="0.25">
      <c r="B8127"/>
    </row>
    <row r="8128" spans="2:2" x14ac:dyDescent="0.25">
      <c r="B8128"/>
    </row>
    <row r="8129" spans="2:2" x14ac:dyDescent="0.25">
      <c r="B8129"/>
    </row>
    <row r="8130" spans="2:2" x14ac:dyDescent="0.25">
      <c r="B8130"/>
    </row>
    <row r="8131" spans="2:2" x14ac:dyDescent="0.25">
      <c r="B8131"/>
    </row>
    <row r="8132" spans="2:2" x14ac:dyDescent="0.25">
      <c r="B8132"/>
    </row>
    <row r="8133" spans="2:2" x14ac:dyDescent="0.25">
      <c r="B8133"/>
    </row>
    <row r="8134" spans="2:2" x14ac:dyDescent="0.25">
      <c r="B8134"/>
    </row>
    <row r="8135" spans="2:2" x14ac:dyDescent="0.25">
      <c r="B8135"/>
    </row>
    <row r="8136" spans="2:2" x14ac:dyDescent="0.25">
      <c r="B8136"/>
    </row>
    <row r="8137" spans="2:2" x14ac:dyDescent="0.25">
      <c r="B8137"/>
    </row>
    <row r="8138" spans="2:2" x14ac:dyDescent="0.25">
      <c r="B8138"/>
    </row>
    <row r="8139" spans="2:2" x14ac:dyDescent="0.25">
      <c r="B8139"/>
    </row>
    <row r="8140" spans="2:2" x14ac:dyDescent="0.25">
      <c r="B8140"/>
    </row>
    <row r="8141" spans="2:2" x14ac:dyDescent="0.25">
      <c r="B8141"/>
    </row>
    <row r="8142" spans="2:2" x14ac:dyDescent="0.25">
      <c r="B8142"/>
    </row>
    <row r="8143" spans="2:2" x14ac:dyDescent="0.25">
      <c r="B8143"/>
    </row>
    <row r="8144" spans="2:2" x14ac:dyDescent="0.25">
      <c r="B8144"/>
    </row>
    <row r="8145" spans="2:2" x14ac:dyDescent="0.25">
      <c r="B8145"/>
    </row>
    <row r="8146" spans="2:2" x14ac:dyDescent="0.25">
      <c r="B8146"/>
    </row>
    <row r="8147" spans="2:2" x14ac:dyDescent="0.25">
      <c r="B8147"/>
    </row>
    <row r="8148" spans="2:2" x14ac:dyDescent="0.25">
      <c r="B8148"/>
    </row>
    <row r="8149" spans="2:2" x14ac:dyDescent="0.25">
      <c r="B8149"/>
    </row>
    <row r="8150" spans="2:2" x14ac:dyDescent="0.25">
      <c r="B8150"/>
    </row>
    <row r="8151" spans="2:2" x14ac:dyDescent="0.25">
      <c r="B8151"/>
    </row>
    <row r="8152" spans="2:2" x14ac:dyDescent="0.25">
      <c r="B8152"/>
    </row>
    <row r="8153" spans="2:2" x14ac:dyDescent="0.25">
      <c r="B8153"/>
    </row>
    <row r="8154" spans="2:2" x14ac:dyDescent="0.25">
      <c r="B8154"/>
    </row>
    <row r="8155" spans="2:2" x14ac:dyDescent="0.25">
      <c r="B8155"/>
    </row>
    <row r="8156" spans="2:2" x14ac:dyDescent="0.25">
      <c r="B8156"/>
    </row>
    <row r="8157" spans="2:2" x14ac:dyDescent="0.25">
      <c r="B8157"/>
    </row>
    <row r="8158" spans="2:2" x14ac:dyDescent="0.25">
      <c r="B8158"/>
    </row>
    <row r="8159" spans="2:2" x14ac:dyDescent="0.25">
      <c r="B8159"/>
    </row>
    <row r="8160" spans="2:2" x14ac:dyDescent="0.25">
      <c r="B8160"/>
    </row>
    <row r="8161" spans="2:2" x14ac:dyDescent="0.25">
      <c r="B8161"/>
    </row>
    <row r="8162" spans="2:2" x14ac:dyDescent="0.25">
      <c r="B8162"/>
    </row>
    <row r="8163" spans="2:2" x14ac:dyDescent="0.25">
      <c r="B8163"/>
    </row>
    <row r="8164" spans="2:2" x14ac:dyDescent="0.25">
      <c r="B8164"/>
    </row>
    <row r="8165" spans="2:2" x14ac:dyDescent="0.25">
      <c r="B8165"/>
    </row>
    <row r="8166" spans="2:2" x14ac:dyDescent="0.25">
      <c r="B8166"/>
    </row>
    <row r="8167" spans="2:2" x14ac:dyDescent="0.25">
      <c r="B8167"/>
    </row>
    <row r="8168" spans="2:2" x14ac:dyDescent="0.25">
      <c r="B8168"/>
    </row>
    <row r="8169" spans="2:2" x14ac:dyDescent="0.25">
      <c r="B8169"/>
    </row>
    <row r="8170" spans="2:2" x14ac:dyDescent="0.25">
      <c r="B8170"/>
    </row>
    <row r="8171" spans="2:2" x14ac:dyDescent="0.25">
      <c r="B8171"/>
    </row>
    <row r="8172" spans="2:2" x14ac:dyDescent="0.25">
      <c r="B8172"/>
    </row>
    <row r="8173" spans="2:2" x14ac:dyDescent="0.25">
      <c r="B8173"/>
    </row>
    <row r="8174" spans="2:2" x14ac:dyDescent="0.25">
      <c r="B8174"/>
    </row>
    <row r="8175" spans="2:2" x14ac:dyDescent="0.25">
      <c r="B8175"/>
    </row>
    <row r="8176" spans="2:2" x14ac:dyDescent="0.25">
      <c r="B8176"/>
    </row>
    <row r="8177" spans="2:2" x14ac:dyDescent="0.25">
      <c r="B8177"/>
    </row>
    <row r="8178" spans="2:2" x14ac:dyDescent="0.25">
      <c r="B8178"/>
    </row>
    <row r="8179" spans="2:2" x14ac:dyDescent="0.25">
      <c r="B8179"/>
    </row>
    <row r="8180" spans="2:2" x14ac:dyDescent="0.25">
      <c r="B8180"/>
    </row>
    <row r="8181" spans="2:2" x14ac:dyDescent="0.25">
      <c r="B8181"/>
    </row>
    <row r="8182" spans="2:2" x14ac:dyDescent="0.25">
      <c r="B8182"/>
    </row>
    <row r="8183" spans="2:2" x14ac:dyDescent="0.25">
      <c r="B8183"/>
    </row>
    <row r="8184" spans="2:2" x14ac:dyDescent="0.25">
      <c r="B8184"/>
    </row>
    <row r="8185" spans="2:2" x14ac:dyDescent="0.25">
      <c r="B8185"/>
    </row>
    <row r="8186" spans="2:2" x14ac:dyDescent="0.25">
      <c r="B8186"/>
    </row>
    <row r="8187" spans="2:2" x14ac:dyDescent="0.25">
      <c r="B8187"/>
    </row>
    <row r="8188" spans="2:2" x14ac:dyDescent="0.25">
      <c r="B8188"/>
    </row>
    <row r="8189" spans="2:2" x14ac:dyDescent="0.25">
      <c r="B8189"/>
    </row>
    <row r="8190" spans="2:2" x14ac:dyDescent="0.25">
      <c r="B8190"/>
    </row>
    <row r="8191" spans="2:2" x14ac:dyDescent="0.25">
      <c r="B8191"/>
    </row>
    <row r="8192" spans="2:2" x14ac:dyDescent="0.25">
      <c r="B8192"/>
    </row>
    <row r="8193" spans="2:2" x14ac:dyDescent="0.25">
      <c r="B8193"/>
    </row>
    <row r="8194" spans="2:2" x14ac:dyDescent="0.25">
      <c r="B8194"/>
    </row>
    <row r="8195" spans="2:2" x14ac:dyDescent="0.25">
      <c r="B8195"/>
    </row>
    <row r="8196" spans="2:2" x14ac:dyDescent="0.25">
      <c r="B8196"/>
    </row>
    <row r="8197" spans="2:2" x14ac:dyDescent="0.25">
      <c r="B8197"/>
    </row>
    <row r="8198" spans="2:2" x14ac:dyDescent="0.25">
      <c r="B8198"/>
    </row>
    <row r="8199" spans="2:2" x14ac:dyDescent="0.25">
      <c r="B8199"/>
    </row>
    <row r="8200" spans="2:2" x14ac:dyDescent="0.25">
      <c r="B8200"/>
    </row>
    <row r="8201" spans="2:2" x14ac:dyDescent="0.25">
      <c r="B8201"/>
    </row>
    <row r="8202" spans="2:2" x14ac:dyDescent="0.25">
      <c r="B8202"/>
    </row>
    <row r="8203" spans="2:2" x14ac:dyDescent="0.25">
      <c r="B8203"/>
    </row>
    <row r="8204" spans="2:2" x14ac:dyDescent="0.25">
      <c r="B8204"/>
    </row>
    <row r="8205" spans="2:2" x14ac:dyDescent="0.25">
      <c r="B8205"/>
    </row>
    <row r="8206" spans="2:2" x14ac:dyDescent="0.25">
      <c r="B8206"/>
    </row>
    <row r="8207" spans="2:2" x14ac:dyDescent="0.25">
      <c r="B8207"/>
    </row>
    <row r="8208" spans="2:2" x14ac:dyDescent="0.25">
      <c r="B8208"/>
    </row>
    <row r="8209" spans="2:2" x14ac:dyDescent="0.25">
      <c r="B8209"/>
    </row>
    <row r="8210" spans="2:2" x14ac:dyDescent="0.25">
      <c r="B8210"/>
    </row>
    <row r="8211" spans="2:2" x14ac:dyDescent="0.25">
      <c r="B8211"/>
    </row>
    <row r="8212" spans="2:2" x14ac:dyDescent="0.25">
      <c r="B8212"/>
    </row>
    <row r="8213" spans="2:2" x14ac:dyDescent="0.25">
      <c r="B8213"/>
    </row>
    <row r="8214" spans="2:2" x14ac:dyDescent="0.25">
      <c r="B8214"/>
    </row>
    <row r="8215" spans="2:2" x14ac:dyDescent="0.25">
      <c r="B8215"/>
    </row>
    <row r="8216" spans="2:2" x14ac:dyDescent="0.25">
      <c r="B8216"/>
    </row>
    <row r="8217" spans="2:2" x14ac:dyDescent="0.25">
      <c r="B8217"/>
    </row>
    <row r="8218" spans="2:2" x14ac:dyDescent="0.25">
      <c r="B8218"/>
    </row>
    <row r="8219" spans="2:2" x14ac:dyDescent="0.25">
      <c r="B8219"/>
    </row>
    <row r="8220" spans="2:2" x14ac:dyDescent="0.25">
      <c r="B8220"/>
    </row>
    <row r="8221" spans="2:2" x14ac:dyDescent="0.25">
      <c r="B8221"/>
    </row>
    <row r="8222" spans="2:2" x14ac:dyDescent="0.25">
      <c r="B8222"/>
    </row>
    <row r="8223" spans="2:2" x14ac:dyDescent="0.25">
      <c r="B8223"/>
    </row>
    <row r="8224" spans="2:2" x14ac:dyDescent="0.25">
      <c r="B8224"/>
    </row>
    <row r="8225" spans="2:2" x14ac:dyDescent="0.25">
      <c r="B8225"/>
    </row>
    <row r="8226" spans="2:2" x14ac:dyDescent="0.25">
      <c r="B8226"/>
    </row>
    <row r="8227" spans="2:2" x14ac:dyDescent="0.25">
      <c r="B8227"/>
    </row>
    <row r="8228" spans="2:2" x14ac:dyDescent="0.25">
      <c r="B8228"/>
    </row>
  </sheetData>
  <autoFilter ref="A1:E745" xr:uid="{C039DF7B-65B7-4985-8723-D8299CD0DFF4}">
    <sortState xmlns:xlrd2="http://schemas.microsoft.com/office/spreadsheetml/2017/richdata2" ref="A2:E745">
      <sortCondition ref="E1:E745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Pisarek</dc:creator>
  <cp:lastModifiedBy>Rachel Pisarek</cp:lastModifiedBy>
  <dcterms:created xsi:type="dcterms:W3CDTF">2024-07-25T17:59:07Z</dcterms:created>
  <dcterms:modified xsi:type="dcterms:W3CDTF">2024-07-25T18:02:03Z</dcterms:modified>
</cp:coreProperties>
</file>