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6478C280-355A-4124-BAFB-8A06464C5C19}" xr6:coauthVersionLast="47" xr6:coauthVersionMax="47" xr10:uidLastSave="{00000000-0000-0000-0000-000000000000}"/>
  <bookViews>
    <workbookView xWindow="-120" yWindow="-120" windowWidth="29040" windowHeight="15840" xr2:uid="{354A437F-F5F8-421D-A4E6-FB8B7B7811FF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347" i="1"/>
  <c r="D347" i="1"/>
  <c r="C347" i="1"/>
  <c r="B347" i="1"/>
  <c r="A347" i="1"/>
  <c r="E348" i="1"/>
  <c r="D348" i="1"/>
  <c r="C348" i="1"/>
  <c r="B348" i="1"/>
  <c r="A348" i="1"/>
  <c r="E349" i="1"/>
  <c r="D349" i="1"/>
  <c r="C349" i="1"/>
  <c r="B349" i="1"/>
  <c r="A349" i="1"/>
  <c r="E350" i="1"/>
  <c r="D350" i="1"/>
  <c r="C350" i="1"/>
  <c r="B350" i="1"/>
  <c r="A350" i="1"/>
  <c r="E351" i="1"/>
  <c r="D351" i="1"/>
  <c r="C351" i="1"/>
  <c r="B351" i="1"/>
  <c r="A351" i="1"/>
  <c r="E352" i="1"/>
  <c r="D352" i="1"/>
  <c r="C352" i="1"/>
  <c r="B352" i="1"/>
  <c r="A352" i="1"/>
  <c r="E353" i="1"/>
  <c r="D353" i="1"/>
  <c r="C353" i="1"/>
  <c r="B353" i="1"/>
  <c r="A353" i="1"/>
  <c r="E354" i="1"/>
  <c r="D354" i="1"/>
  <c r="C354" i="1"/>
  <c r="B354" i="1"/>
  <c r="A354" i="1"/>
  <c r="E355" i="1"/>
  <c r="D355" i="1"/>
  <c r="C355" i="1"/>
  <c r="B355" i="1"/>
  <c r="A355" i="1"/>
  <c r="E356" i="1"/>
  <c r="D356" i="1"/>
  <c r="C356" i="1"/>
  <c r="B356" i="1"/>
  <c r="A356" i="1"/>
  <c r="E357" i="1"/>
  <c r="D357" i="1"/>
  <c r="C357" i="1"/>
  <c r="B357" i="1"/>
  <c r="A357" i="1"/>
  <c r="E358" i="1"/>
  <c r="D358" i="1"/>
  <c r="C358" i="1"/>
  <c r="B358" i="1"/>
  <c r="A358" i="1"/>
  <c r="E359" i="1"/>
  <c r="D359" i="1"/>
  <c r="C359" i="1"/>
  <c r="B359" i="1"/>
  <c r="A359" i="1"/>
  <c r="E360" i="1"/>
  <c r="D360" i="1"/>
  <c r="C360" i="1"/>
  <c r="B360" i="1"/>
  <c r="A360" i="1"/>
  <c r="E361" i="1"/>
  <c r="D361" i="1"/>
  <c r="C361" i="1"/>
  <c r="B361" i="1"/>
  <c r="A361" i="1"/>
  <c r="E362" i="1"/>
  <c r="D362" i="1"/>
  <c r="C362" i="1"/>
  <c r="B362" i="1"/>
  <c r="A362" i="1"/>
  <c r="E363" i="1"/>
  <c r="D363" i="1"/>
  <c r="C363" i="1"/>
  <c r="B363" i="1"/>
  <c r="A363" i="1"/>
  <c r="E364" i="1"/>
  <c r="D364" i="1"/>
  <c r="C364" i="1"/>
  <c r="B364" i="1"/>
  <c r="A364" i="1"/>
  <c r="E365" i="1"/>
  <c r="D365" i="1"/>
  <c r="C365" i="1"/>
  <c r="B365" i="1"/>
  <c r="A365" i="1"/>
  <c r="E366" i="1"/>
  <c r="D366" i="1"/>
  <c r="C366" i="1"/>
  <c r="B366" i="1"/>
  <c r="A366" i="1"/>
  <c r="E367" i="1"/>
  <c r="D367" i="1"/>
  <c r="C367" i="1"/>
  <c r="B367" i="1"/>
  <c r="A367" i="1"/>
  <c r="E368" i="1"/>
  <c r="D368" i="1"/>
  <c r="C368" i="1"/>
  <c r="B368" i="1"/>
  <c r="A368" i="1"/>
  <c r="E369" i="1"/>
  <c r="D369" i="1"/>
  <c r="C369" i="1"/>
  <c r="B369" i="1"/>
  <c r="A369" i="1"/>
  <c r="E370" i="1"/>
  <c r="D370" i="1"/>
  <c r="C370" i="1"/>
  <c r="B370" i="1"/>
  <c r="A370" i="1"/>
  <c r="E371" i="1"/>
  <c r="D371" i="1"/>
  <c r="C371" i="1"/>
  <c r="B371" i="1"/>
  <c r="A371" i="1"/>
  <c r="E372" i="1"/>
  <c r="D372" i="1"/>
  <c r="C372" i="1"/>
  <c r="B372" i="1"/>
  <c r="A372" i="1"/>
  <c r="E373" i="1"/>
  <c r="D373" i="1"/>
  <c r="C373" i="1"/>
  <c r="B373" i="1"/>
  <c r="A373" i="1"/>
  <c r="E374" i="1"/>
  <c r="D374" i="1"/>
  <c r="C374" i="1"/>
  <c r="B374" i="1"/>
  <c r="A374" i="1"/>
  <c r="E375" i="1"/>
  <c r="D375" i="1"/>
  <c r="C375" i="1"/>
  <c r="B375" i="1"/>
  <c r="A375" i="1"/>
  <c r="E376" i="1"/>
  <c r="D376" i="1"/>
  <c r="C376" i="1"/>
  <c r="B376" i="1"/>
  <c r="A376" i="1"/>
  <c r="E377" i="1"/>
  <c r="D377" i="1"/>
  <c r="C377" i="1"/>
  <c r="B377" i="1"/>
  <c r="A377" i="1"/>
  <c r="E378" i="1"/>
  <c r="D378" i="1"/>
  <c r="C378" i="1"/>
  <c r="B378" i="1"/>
  <c r="A378" i="1"/>
  <c r="E379" i="1"/>
  <c r="D379" i="1"/>
  <c r="C379" i="1"/>
  <c r="B379" i="1"/>
  <c r="A379" i="1"/>
  <c r="E380" i="1"/>
  <c r="D380" i="1"/>
  <c r="C380" i="1"/>
  <c r="B380" i="1"/>
  <c r="A380" i="1"/>
  <c r="E381" i="1"/>
  <c r="D381" i="1"/>
  <c r="C381" i="1"/>
  <c r="B381" i="1"/>
  <c r="A381" i="1"/>
  <c r="E382" i="1"/>
  <c r="D382" i="1"/>
  <c r="C382" i="1"/>
  <c r="B382" i="1"/>
  <c r="A382" i="1"/>
  <c r="E383" i="1"/>
  <c r="D383" i="1"/>
  <c r="C383" i="1"/>
  <c r="B383" i="1"/>
  <c r="A383" i="1"/>
  <c r="E384" i="1"/>
  <c r="D384" i="1"/>
  <c r="C384" i="1"/>
  <c r="B384" i="1"/>
  <c r="A384" i="1"/>
  <c r="E385" i="1"/>
  <c r="D385" i="1"/>
  <c r="C385" i="1"/>
  <c r="B385" i="1"/>
  <c r="A385" i="1"/>
  <c r="E386" i="1"/>
  <c r="D386" i="1"/>
  <c r="C386" i="1"/>
  <c r="B386" i="1"/>
  <c r="A386" i="1"/>
  <c r="E387" i="1"/>
  <c r="D387" i="1"/>
  <c r="C387" i="1"/>
  <c r="B387" i="1"/>
  <c r="A387" i="1"/>
  <c r="E388" i="1"/>
  <c r="D388" i="1"/>
  <c r="C388" i="1"/>
  <c r="B388" i="1"/>
  <c r="A388" i="1"/>
  <c r="E389" i="1"/>
  <c r="D389" i="1"/>
  <c r="C389" i="1"/>
  <c r="B389" i="1"/>
  <c r="A389" i="1"/>
  <c r="E390" i="1"/>
  <c r="D390" i="1"/>
  <c r="C390" i="1"/>
  <c r="B390" i="1"/>
  <c r="A390" i="1"/>
  <c r="E391" i="1"/>
  <c r="D391" i="1"/>
  <c r="C391" i="1"/>
  <c r="B391" i="1"/>
  <c r="A391" i="1"/>
  <c r="E392" i="1"/>
  <c r="D392" i="1"/>
  <c r="C392" i="1"/>
  <c r="B392" i="1"/>
  <c r="A392" i="1"/>
  <c r="E393" i="1"/>
  <c r="D393" i="1"/>
  <c r="C393" i="1"/>
  <c r="B393" i="1"/>
  <c r="A393" i="1"/>
  <c r="E394" i="1"/>
  <c r="D394" i="1"/>
  <c r="C394" i="1"/>
  <c r="B394" i="1"/>
  <c r="A394" i="1"/>
  <c r="E395" i="1"/>
  <c r="D395" i="1"/>
  <c r="C395" i="1"/>
  <c r="B395" i="1"/>
  <c r="A395" i="1"/>
  <c r="E396" i="1"/>
  <c r="D396" i="1"/>
  <c r="C396" i="1"/>
  <c r="B396" i="1"/>
  <c r="A396" i="1"/>
  <c r="E397" i="1"/>
  <c r="D397" i="1"/>
  <c r="C397" i="1"/>
  <c r="B397" i="1"/>
  <c r="A397" i="1"/>
  <c r="E398" i="1"/>
  <c r="D398" i="1"/>
  <c r="C398" i="1"/>
  <c r="B398" i="1"/>
  <c r="A398" i="1"/>
  <c r="E399" i="1"/>
  <c r="D399" i="1"/>
  <c r="C399" i="1"/>
  <c r="B399" i="1"/>
  <c r="A399" i="1"/>
  <c r="E400" i="1"/>
  <c r="D400" i="1"/>
  <c r="C400" i="1"/>
  <c r="B400" i="1"/>
  <c r="A400" i="1"/>
  <c r="E401" i="1"/>
  <c r="D401" i="1"/>
  <c r="C401" i="1"/>
  <c r="B401" i="1"/>
  <c r="A401" i="1"/>
  <c r="E402" i="1"/>
  <c r="D402" i="1"/>
  <c r="C402" i="1"/>
  <c r="B402" i="1"/>
  <c r="A402" i="1"/>
  <c r="E403" i="1"/>
  <c r="D403" i="1"/>
  <c r="C403" i="1"/>
  <c r="B403" i="1"/>
  <c r="A403" i="1"/>
  <c r="E404" i="1"/>
  <c r="D404" i="1"/>
  <c r="C404" i="1"/>
  <c r="B404" i="1"/>
  <c r="A404" i="1"/>
  <c r="E405" i="1"/>
  <c r="D405" i="1"/>
  <c r="C405" i="1"/>
  <c r="B405" i="1"/>
  <c r="A405" i="1"/>
  <c r="E406" i="1"/>
  <c r="D406" i="1"/>
  <c r="C406" i="1"/>
  <c r="B406" i="1"/>
  <c r="A406" i="1"/>
  <c r="E407" i="1"/>
  <c r="D407" i="1"/>
  <c r="C407" i="1"/>
  <c r="B407" i="1"/>
  <c r="A407" i="1"/>
  <c r="E408" i="1"/>
  <c r="D408" i="1"/>
  <c r="C408" i="1"/>
  <c r="B408" i="1"/>
  <c r="A408" i="1"/>
  <c r="E409" i="1"/>
  <c r="D409" i="1"/>
  <c r="C409" i="1"/>
  <c r="B409" i="1"/>
  <c r="A409" i="1"/>
  <c r="E410" i="1"/>
  <c r="D410" i="1"/>
  <c r="C410" i="1"/>
  <c r="B410" i="1"/>
  <c r="A410" i="1"/>
  <c r="E411" i="1"/>
  <c r="D411" i="1"/>
  <c r="C411" i="1"/>
  <c r="B411" i="1"/>
  <c r="A411" i="1"/>
  <c r="E412" i="1"/>
  <c r="D412" i="1"/>
  <c r="C412" i="1"/>
  <c r="B412" i="1"/>
  <c r="A412" i="1"/>
  <c r="E413" i="1"/>
  <c r="D413" i="1"/>
  <c r="C413" i="1"/>
  <c r="B413" i="1"/>
  <c r="A413" i="1"/>
  <c r="E414" i="1"/>
  <c r="D414" i="1"/>
  <c r="C414" i="1"/>
  <c r="B414" i="1"/>
  <c r="A414" i="1"/>
  <c r="E415" i="1"/>
  <c r="D415" i="1"/>
  <c r="C415" i="1"/>
  <c r="B415" i="1"/>
  <c r="A415" i="1"/>
  <c r="E416" i="1"/>
  <c r="D416" i="1"/>
  <c r="C416" i="1"/>
  <c r="B416" i="1"/>
  <c r="A416" i="1"/>
  <c r="E417" i="1"/>
  <c r="D417" i="1"/>
  <c r="C417" i="1"/>
  <c r="B417" i="1"/>
  <c r="A417" i="1"/>
  <c r="E418" i="1"/>
  <c r="D418" i="1"/>
  <c r="C418" i="1"/>
  <c r="B418" i="1"/>
  <c r="A418" i="1"/>
  <c r="E419" i="1"/>
  <c r="D419" i="1"/>
  <c r="C419" i="1"/>
  <c r="B419" i="1"/>
  <c r="A419" i="1"/>
  <c r="E420" i="1"/>
  <c r="D420" i="1"/>
  <c r="C420" i="1"/>
  <c r="B420" i="1"/>
  <c r="A420" i="1"/>
  <c r="E421" i="1"/>
  <c r="D421" i="1"/>
  <c r="C421" i="1"/>
  <c r="B421" i="1"/>
  <c r="A421" i="1"/>
  <c r="E422" i="1"/>
  <c r="D422" i="1"/>
  <c r="C422" i="1"/>
  <c r="B422" i="1"/>
  <c r="A422" i="1"/>
  <c r="E423" i="1"/>
  <c r="D423" i="1"/>
  <c r="C423" i="1"/>
  <c r="B423" i="1"/>
  <c r="A423" i="1"/>
  <c r="E424" i="1"/>
  <c r="D424" i="1"/>
  <c r="C424" i="1"/>
  <c r="B424" i="1"/>
  <c r="A424" i="1"/>
  <c r="E425" i="1"/>
  <c r="D425" i="1"/>
  <c r="C425" i="1"/>
  <c r="B425" i="1"/>
  <c r="A425" i="1"/>
  <c r="E426" i="1"/>
  <c r="D426" i="1"/>
  <c r="C426" i="1"/>
  <c r="B426" i="1"/>
  <c r="A426" i="1"/>
  <c r="E427" i="1"/>
  <c r="D427" i="1"/>
  <c r="C427" i="1"/>
  <c r="B427" i="1"/>
  <c r="A427" i="1"/>
  <c r="E428" i="1"/>
  <c r="D428" i="1"/>
  <c r="C428" i="1"/>
  <c r="B428" i="1"/>
  <c r="A428" i="1"/>
  <c r="E429" i="1"/>
  <c r="D429" i="1"/>
  <c r="C429" i="1"/>
  <c r="B429" i="1"/>
  <c r="A429" i="1"/>
  <c r="E430" i="1"/>
  <c r="D430" i="1"/>
  <c r="C430" i="1"/>
  <c r="B430" i="1"/>
  <c r="A430" i="1"/>
  <c r="E431" i="1"/>
  <c r="D431" i="1"/>
  <c r="C431" i="1"/>
  <c r="B431" i="1"/>
  <c r="A431" i="1"/>
  <c r="E432" i="1"/>
  <c r="D432" i="1"/>
  <c r="C432" i="1"/>
  <c r="B432" i="1"/>
  <c r="A432" i="1"/>
  <c r="E433" i="1"/>
  <c r="D433" i="1"/>
  <c r="C433" i="1"/>
  <c r="B433" i="1"/>
  <c r="A433" i="1"/>
  <c r="E434" i="1"/>
  <c r="D434" i="1"/>
  <c r="C434" i="1"/>
  <c r="B434" i="1"/>
  <c r="A434" i="1"/>
  <c r="E435" i="1"/>
  <c r="D435" i="1"/>
  <c r="C435" i="1"/>
  <c r="B435" i="1"/>
  <c r="A435" i="1"/>
  <c r="E436" i="1"/>
  <c r="D436" i="1"/>
  <c r="C436" i="1"/>
  <c r="B436" i="1"/>
  <c r="A436" i="1"/>
  <c r="E437" i="1"/>
  <c r="D437" i="1"/>
  <c r="C437" i="1"/>
  <c r="B437" i="1"/>
  <c r="A437" i="1"/>
  <c r="E438" i="1"/>
  <c r="D438" i="1"/>
  <c r="C438" i="1"/>
  <c r="B438" i="1"/>
  <c r="A438" i="1"/>
  <c r="E439" i="1"/>
  <c r="D439" i="1"/>
  <c r="C439" i="1"/>
  <c r="B439" i="1"/>
  <c r="A439" i="1"/>
  <c r="E440" i="1"/>
  <c r="D440" i="1"/>
  <c r="C440" i="1"/>
  <c r="B440" i="1"/>
  <c r="A440" i="1"/>
  <c r="E441" i="1"/>
  <c r="D441" i="1"/>
  <c r="C441" i="1"/>
  <c r="B441" i="1"/>
  <c r="A441" i="1"/>
  <c r="E442" i="1"/>
  <c r="D442" i="1"/>
  <c r="C442" i="1"/>
  <c r="B442" i="1"/>
  <c r="A442" i="1"/>
  <c r="E443" i="1"/>
  <c r="D443" i="1"/>
  <c r="C443" i="1"/>
  <c r="B443" i="1"/>
  <c r="A443" i="1"/>
  <c r="E444" i="1"/>
  <c r="D444" i="1"/>
  <c r="C444" i="1"/>
  <c r="B444" i="1"/>
  <c r="A444" i="1"/>
  <c r="E445" i="1"/>
  <c r="D445" i="1"/>
  <c r="C445" i="1"/>
  <c r="B445" i="1"/>
  <c r="A445" i="1"/>
  <c r="E446" i="1"/>
  <c r="D446" i="1"/>
  <c r="C446" i="1"/>
  <c r="B446" i="1"/>
  <c r="A446" i="1"/>
  <c r="E447" i="1"/>
  <c r="D447" i="1"/>
  <c r="C447" i="1"/>
  <c r="B447" i="1"/>
  <c r="A447" i="1"/>
  <c r="E448" i="1"/>
  <c r="D448" i="1"/>
  <c r="C448" i="1"/>
  <c r="B448" i="1"/>
  <c r="A448" i="1"/>
  <c r="E449" i="1"/>
  <c r="D449" i="1"/>
  <c r="C449" i="1"/>
  <c r="B449" i="1"/>
  <c r="A449" i="1"/>
  <c r="E450" i="1"/>
  <c r="D450" i="1"/>
  <c r="C450" i="1"/>
  <c r="B450" i="1"/>
  <c r="A450" i="1"/>
  <c r="E451" i="1"/>
  <c r="D451" i="1"/>
  <c r="C451" i="1"/>
  <c r="B451" i="1"/>
  <c r="A451" i="1"/>
  <c r="E452" i="1"/>
  <c r="D452" i="1"/>
  <c r="C452" i="1"/>
  <c r="B452" i="1"/>
  <c r="A452" i="1"/>
  <c r="E453" i="1"/>
  <c r="D453" i="1"/>
  <c r="C453" i="1"/>
  <c r="B453" i="1"/>
  <c r="A453" i="1"/>
  <c r="E454" i="1"/>
  <c r="D454" i="1"/>
  <c r="C454" i="1"/>
  <c r="B454" i="1"/>
  <c r="A454" i="1"/>
  <c r="E455" i="1"/>
  <c r="D455" i="1"/>
  <c r="C455" i="1"/>
  <c r="B455" i="1"/>
  <c r="A455" i="1"/>
  <c r="E456" i="1"/>
  <c r="D456" i="1"/>
  <c r="C456" i="1"/>
  <c r="B456" i="1"/>
  <c r="A456" i="1"/>
  <c r="E457" i="1"/>
  <c r="D457" i="1"/>
  <c r="C457" i="1"/>
  <c r="B457" i="1"/>
  <c r="A457" i="1"/>
  <c r="E458" i="1"/>
  <c r="D458" i="1"/>
  <c r="C458" i="1"/>
  <c r="B458" i="1"/>
  <c r="A458" i="1"/>
  <c r="E459" i="1"/>
  <c r="D459" i="1"/>
  <c r="C459" i="1"/>
  <c r="B459" i="1"/>
  <c r="A459" i="1"/>
  <c r="E460" i="1"/>
  <c r="D460" i="1"/>
  <c r="C460" i="1"/>
  <c r="B460" i="1"/>
  <c r="A460" i="1"/>
  <c r="E461" i="1"/>
  <c r="D461" i="1"/>
  <c r="C461" i="1"/>
  <c r="B461" i="1"/>
  <c r="A461" i="1"/>
  <c r="E462" i="1"/>
  <c r="D462" i="1"/>
  <c r="C462" i="1"/>
  <c r="B462" i="1"/>
  <c r="A462" i="1"/>
  <c r="E463" i="1"/>
  <c r="D463" i="1"/>
  <c r="C463" i="1"/>
  <c r="B463" i="1"/>
  <c r="A463" i="1"/>
  <c r="E464" i="1"/>
  <c r="D464" i="1"/>
  <c r="C464" i="1"/>
  <c r="B464" i="1"/>
  <c r="A464" i="1"/>
  <c r="E465" i="1"/>
  <c r="D465" i="1"/>
  <c r="C465" i="1"/>
  <c r="B465" i="1"/>
  <c r="A465" i="1"/>
  <c r="E466" i="1"/>
  <c r="D466" i="1"/>
  <c r="C466" i="1"/>
  <c r="B466" i="1"/>
  <c r="A466" i="1"/>
  <c r="E467" i="1"/>
  <c r="D467" i="1"/>
  <c r="C467" i="1"/>
  <c r="B467" i="1"/>
  <c r="A467" i="1"/>
  <c r="E468" i="1"/>
  <c r="D468" i="1"/>
  <c r="C468" i="1"/>
  <c r="B468" i="1"/>
  <c r="A468" i="1"/>
  <c r="E469" i="1"/>
  <c r="D469" i="1"/>
  <c r="C469" i="1"/>
  <c r="B469" i="1"/>
  <c r="A469" i="1"/>
  <c r="E470" i="1"/>
  <c r="D470" i="1"/>
  <c r="C470" i="1"/>
  <c r="B470" i="1"/>
  <c r="A470" i="1"/>
  <c r="E471" i="1"/>
  <c r="D471" i="1"/>
  <c r="C471" i="1"/>
  <c r="B471" i="1"/>
  <c r="A471" i="1"/>
  <c r="E472" i="1"/>
  <c r="D472" i="1"/>
  <c r="C472" i="1"/>
  <c r="B472" i="1"/>
  <c r="A472" i="1"/>
  <c r="E473" i="1"/>
  <c r="D473" i="1"/>
  <c r="C473" i="1"/>
  <c r="B473" i="1"/>
  <c r="A473" i="1"/>
  <c r="E474" i="1"/>
  <c r="D474" i="1"/>
  <c r="C474" i="1"/>
  <c r="B474" i="1"/>
  <c r="A474" i="1"/>
  <c r="E475" i="1"/>
  <c r="D475" i="1"/>
  <c r="C475" i="1"/>
  <c r="B475" i="1"/>
  <c r="A475" i="1"/>
  <c r="E476" i="1"/>
  <c r="D476" i="1"/>
  <c r="C476" i="1"/>
  <c r="B476" i="1"/>
  <c r="A476" i="1"/>
  <c r="E477" i="1"/>
  <c r="D477" i="1"/>
  <c r="C477" i="1"/>
  <c r="B477" i="1"/>
  <c r="A477" i="1"/>
  <c r="E478" i="1"/>
  <c r="D478" i="1"/>
  <c r="C478" i="1"/>
  <c r="B478" i="1"/>
  <c r="A478" i="1"/>
  <c r="E479" i="1"/>
  <c r="D479" i="1"/>
  <c r="C479" i="1"/>
  <c r="B479" i="1"/>
  <c r="A479" i="1"/>
  <c r="E480" i="1"/>
  <c r="D480" i="1"/>
  <c r="C480" i="1"/>
  <c r="B480" i="1"/>
  <c r="A480" i="1"/>
  <c r="E481" i="1"/>
  <c r="D481" i="1"/>
  <c r="C481" i="1"/>
  <c r="B481" i="1"/>
  <c r="A481" i="1"/>
  <c r="E482" i="1"/>
  <c r="D482" i="1"/>
  <c r="C482" i="1"/>
  <c r="B482" i="1"/>
  <c r="A482" i="1"/>
  <c r="E483" i="1"/>
  <c r="D483" i="1"/>
  <c r="C483" i="1"/>
  <c r="B483" i="1"/>
  <c r="A483" i="1"/>
  <c r="E484" i="1"/>
  <c r="D484" i="1"/>
  <c r="C484" i="1"/>
  <c r="B484" i="1"/>
  <c r="A484" i="1"/>
  <c r="E485" i="1"/>
  <c r="D485" i="1"/>
  <c r="C485" i="1"/>
  <c r="B485" i="1"/>
  <c r="A485" i="1"/>
  <c r="E486" i="1"/>
  <c r="D486" i="1"/>
  <c r="C486" i="1"/>
  <c r="B486" i="1"/>
  <c r="A486" i="1"/>
  <c r="E487" i="1"/>
  <c r="D487" i="1"/>
  <c r="C487" i="1"/>
  <c r="B487" i="1"/>
  <c r="A487" i="1"/>
  <c r="E488" i="1"/>
  <c r="D488" i="1"/>
  <c r="C488" i="1"/>
  <c r="B488" i="1"/>
  <c r="A488" i="1"/>
  <c r="E489" i="1"/>
  <c r="D489" i="1"/>
  <c r="C489" i="1"/>
  <c r="B489" i="1"/>
  <c r="A489" i="1"/>
  <c r="E490" i="1"/>
  <c r="D490" i="1"/>
  <c r="C490" i="1"/>
  <c r="B490" i="1"/>
  <c r="A490" i="1"/>
  <c r="E491" i="1"/>
  <c r="D491" i="1"/>
  <c r="C491" i="1"/>
  <c r="B491" i="1"/>
  <c r="A491" i="1"/>
  <c r="E492" i="1"/>
  <c r="D492" i="1"/>
  <c r="C492" i="1"/>
  <c r="B492" i="1"/>
  <c r="A492" i="1"/>
  <c r="E493" i="1"/>
  <c r="D493" i="1"/>
  <c r="C493" i="1"/>
  <c r="B493" i="1"/>
  <c r="A493" i="1"/>
  <c r="E494" i="1"/>
  <c r="D494" i="1"/>
  <c r="C494" i="1"/>
  <c r="B494" i="1"/>
  <c r="A494" i="1"/>
  <c r="E495" i="1"/>
  <c r="D495" i="1"/>
  <c r="C495" i="1"/>
  <c r="B495" i="1"/>
  <c r="A495" i="1"/>
  <c r="E496" i="1"/>
  <c r="D496" i="1"/>
  <c r="C496" i="1"/>
  <c r="B496" i="1"/>
  <c r="A496" i="1"/>
  <c r="E497" i="1"/>
  <c r="D497" i="1"/>
  <c r="C497" i="1"/>
  <c r="B497" i="1"/>
  <c r="A497" i="1"/>
  <c r="E498" i="1"/>
  <c r="D498" i="1"/>
  <c r="C498" i="1"/>
  <c r="B498" i="1"/>
  <c r="A498" i="1"/>
  <c r="E499" i="1"/>
  <c r="D499" i="1"/>
  <c r="C499" i="1"/>
  <c r="B499" i="1"/>
  <c r="A499" i="1"/>
  <c r="E500" i="1"/>
  <c r="D500" i="1"/>
  <c r="C500" i="1"/>
  <c r="B500" i="1"/>
  <c r="A500" i="1"/>
  <c r="E501" i="1"/>
  <c r="D501" i="1"/>
  <c r="C501" i="1"/>
  <c r="B501" i="1"/>
  <c r="A501" i="1"/>
  <c r="E502" i="1"/>
  <c r="D502" i="1"/>
  <c r="C502" i="1"/>
  <c r="B502" i="1"/>
  <c r="A502" i="1"/>
  <c r="E503" i="1"/>
  <c r="D503" i="1"/>
  <c r="C503" i="1"/>
  <c r="B503" i="1"/>
  <c r="A503" i="1"/>
  <c r="E504" i="1"/>
  <c r="D504" i="1"/>
  <c r="C504" i="1"/>
  <c r="B504" i="1"/>
  <c r="A504" i="1"/>
  <c r="E505" i="1"/>
  <c r="D505" i="1"/>
  <c r="C505" i="1"/>
  <c r="B505" i="1"/>
  <c r="A505" i="1"/>
  <c r="E506" i="1"/>
  <c r="D506" i="1"/>
  <c r="C506" i="1"/>
  <c r="B506" i="1"/>
  <c r="A506" i="1"/>
  <c r="E507" i="1"/>
  <c r="D507" i="1"/>
  <c r="C507" i="1"/>
  <c r="B507" i="1"/>
  <c r="A507" i="1"/>
  <c r="E508" i="1"/>
  <c r="D508" i="1"/>
  <c r="C508" i="1"/>
  <c r="B508" i="1"/>
  <c r="A508" i="1"/>
  <c r="E509" i="1"/>
  <c r="D509" i="1"/>
  <c r="C509" i="1"/>
  <c r="B509" i="1"/>
  <c r="A509" i="1"/>
  <c r="E510" i="1"/>
  <c r="D510" i="1"/>
  <c r="C510" i="1"/>
  <c r="B510" i="1"/>
  <c r="A510" i="1"/>
  <c r="E511" i="1"/>
  <c r="D511" i="1"/>
  <c r="C511" i="1"/>
  <c r="B511" i="1"/>
  <c r="A511" i="1"/>
  <c r="E512" i="1"/>
  <c r="D512" i="1"/>
  <c r="C512" i="1"/>
  <c r="B512" i="1"/>
  <c r="A512" i="1"/>
  <c r="E513" i="1"/>
  <c r="D513" i="1"/>
  <c r="C513" i="1"/>
  <c r="B513" i="1"/>
  <c r="A513" i="1"/>
  <c r="E514" i="1"/>
  <c r="D514" i="1"/>
  <c r="C514" i="1"/>
  <c r="B514" i="1"/>
  <c r="A514" i="1"/>
  <c r="E515" i="1"/>
  <c r="D515" i="1"/>
  <c r="C515" i="1"/>
  <c r="B515" i="1"/>
  <c r="A515" i="1"/>
  <c r="E516" i="1"/>
  <c r="D516" i="1"/>
  <c r="C516" i="1"/>
  <c r="B516" i="1"/>
  <c r="A516" i="1"/>
  <c r="E517" i="1"/>
  <c r="D517" i="1"/>
  <c r="C517" i="1"/>
  <c r="B517" i="1"/>
  <c r="A517" i="1"/>
  <c r="E518" i="1"/>
  <c r="D518" i="1"/>
  <c r="C518" i="1"/>
  <c r="B518" i="1"/>
  <c r="A518" i="1"/>
  <c r="E519" i="1"/>
  <c r="D519" i="1"/>
  <c r="C519" i="1"/>
  <c r="B519" i="1"/>
  <c r="A519" i="1"/>
  <c r="E520" i="1"/>
  <c r="D520" i="1"/>
  <c r="C520" i="1"/>
  <c r="B520" i="1"/>
  <c r="A520" i="1"/>
  <c r="E521" i="1"/>
  <c r="D521" i="1"/>
  <c r="C521" i="1"/>
  <c r="B521" i="1"/>
  <c r="A521" i="1"/>
  <c r="E522" i="1"/>
  <c r="D522" i="1"/>
  <c r="C522" i="1"/>
  <c r="B522" i="1"/>
  <c r="A522" i="1"/>
  <c r="E523" i="1"/>
  <c r="D523" i="1"/>
  <c r="C523" i="1"/>
  <c r="B523" i="1"/>
  <c r="A523" i="1"/>
  <c r="E524" i="1"/>
  <c r="D524" i="1"/>
  <c r="C524" i="1"/>
  <c r="B524" i="1"/>
  <c r="A524" i="1"/>
  <c r="E525" i="1"/>
  <c r="D525" i="1"/>
  <c r="C525" i="1"/>
  <c r="B525" i="1"/>
  <c r="A525" i="1"/>
  <c r="E526" i="1"/>
  <c r="D526" i="1"/>
  <c r="C526" i="1"/>
  <c r="B526" i="1"/>
  <c r="A526" i="1"/>
  <c r="E527" i="1"/>
  <c r="D527" i="1"/>
  <c r="C527" i="1"/>
  <c r="B527" i="1"/>
  <c r="A527" i="1"/>
  <c r="E528" i="1"/>
  <c r="D528" i="1"/>
  <c r="C528" i="1"/>
  <c r="B528" i="1"/>
  <c r="A528" i="1"/>
  <c r="E529" i="1"/>
  <c r="D529" i="1"/>
  <c r="C529" i="1"/>
  <c r="B529" i="1"/>
  <c r="A529" i="1"/>
  <c r="E530" i="1"/>
  <c r="D530" i="1"/>
  <c r="C530" i="1"/>
  <c r="B530" i="1"/>
  <c r="A530" i="1"/>
  <c r="E531" i="1"/>
  <c r="D531" i="1"/>
  <c r="C531" i="1"/>
  <c r="B531" i="1"/>
  <c r="A531" i="1"/>
  <c r="E532" i="1"/>
  <c r="D532" i="1"/>
  <c r="C532" i="1"/>
  <c r="B532" i="1"/>
  <c r="A532" i="1"/>
  <c r="E533" i="1"/>
  <c r="D533" i="1"/>
  <c r="C533" i="1"/>
  <c r="B533" i="1"/>
  <c r="A533" i="1"/>
  <c r="E534" i="1"/>
  <c r="D534" i="1"/>
  <c r="C534" i="1"/>
  <c r="B534" i="1"/>
  <c r="A534" i="1"/>
  <c r="E535" i="1"/>
  <c r="D535" i="1"/>
  <c r="C535" i="1"/>
  <c r="B535" i="1"/>
  <c r="A535" i="1"/>
  <c r="E536" i="1"/>
  <c r="D536" i="1"/>
  <c r="C536" i="1"/>
  <c r="B536" i="1"/>
  <c r="A536" i="1"/>
  <c r="E537" i="1"/>
  <c r="D537" i="1"/>
  <c r="C537" i="1"/>
  <c r="B537" i="1"/>
  <c r="A537" i="1"/>
  <c r="E538" i="1"/>
  <c r="D538" i="1"/>
  <c r="C538" i="1"/>
  <c r="B538" i="1"/>
  <c r="A538" i="1"/>
  <c r="E539" i="1"/>
  <c r="D539" i="1"/>
  <c r="C539" i="1"/>
  <c r="B539" i="1"/>
  <c r="A539" i="1"/>
  <c r="E540" i="1"/>
  <c r="D540" i="1"/>
  <c r="C540" i="1"/>
  <c r="B540" i="1"/>
  <c r="A540" i="1"/>
  <c r="E541" i="1"/>
  <c r="D541" i="1"/>
  <c r="C541" i="1"/>
  <c r="B541" i="1"/>
  <c r="A541" i="1"/>
  <c r="E542" i="1"/>
  <c r="D542" i="1"/>
  <c r="C542" i="1"/>
  <c r="B542" i="1"/>
  <c r="A542" i="1"/>
  <c r="E543" i="1"/>
  <c r="D543" i="1"/>
  <c r="C543" i="1"/>
  <c r="B543" i="1"/>
  <c r="A543" i="1"/>
  <c r="E544" i="1"/>
  <c r="D544" i="1"/>
  <c r="C544" i="1"/>
  <c r="B544" i="1"/>
  <c r="A544" i="1"/>
  <c r="E545" i="1"/>
  <c r="D545" i="1"/>
  <c r="C545" i="1"/>
  <c r="B545" i="1"/>
  <c r="A545" i="1"/>
  <c r="E546" i="1"/>
  <c r="D546" i="1"/>
  <c r="C546" i="1"/>
  <c r="B546" i="1"/>
  <c r="A546" i="1"/>
  <c r="E547" i="1"/>
  <c r="D547" i="1"/>
  <c r="C547" i="1"/>
  <c r="B547" i="1"/>
  <c r="A547" i="1"/>
  <c r="E548" i="1"/>
  <c r="D548" i="1"/>
  <c r="C548" i="1"/>
  <c r="B548" i="1"/>
  <c r="A548" i="1"/>
  <c r="E549" i="1"/>
  <c r="D549" i="1"/>
  <c r="C549" i="1"/>
  <c r="B549" i="1"/>
  <c r="A549" i="1"/>
  <c r="E550" i="1"/>
  <c r="D550" i="1"/>
  <c r="C550" i="1"/>
  <c r="B550" i="1"/>
  <c r="A550" i="1"/>
  <c r="E551" i="1"/>
  <c r="D551" i="1"/>
  <c r="C551" i="1"/>
  <c r="B551" i="1"/>
  <c r="A551" i="1"/>
  <c r="E552" i="1"/>
  <c r="D552" i="1"/>
  <c r="C552" i="1"/>
  <c r="B552" i="1"/>
  <c r="A552" i="1"/>
  <c r="E553" i="1"/>
  <c r="D553" i="1"/>
  <c r="C553" i="1"/>
  <c r="B553" i="1"/>
  <c r="A553" i="1"/>
  <c r="E554" i="1"/>
  <c r="D554" i="1"/>
  <c r="C554" i="1"/>
  <c r="B554" i="1"/>
  <c r="A554" i="1"/>
  <c r="E555" i="1"/>
  <c r="D555" i="1"/>
  <c r="C555" i="1"/>
  <c r="B555" i="1"/>
  <c r="A555" i="1"/>
  <c r="E556" i="1"/>
  <c r="D556" i="1"/>
  <c r="C556" i="1"/>
  <c r="B556" i="1"/>
  <c r="A556" i="1"/>
  <c r="E557" i="1"/>
  <c r="D557" i="1"/>
  <c r="C557" i="1"/>
  <c r="B557" i="1"/>
  <c r="A557" i="1"/>
  <c r="E558" i="1"/>
  <c r="D558" i="1"/>
  <c r="C558" i="1"/>
  <c r="B558" i="1"/>
  <c r="A558" i="1"/>
  <c r="E559" i="1"/>
  <c r="D559" i="1"/>
  <c r="C559" i="1"/>
  <c r="B559" i="1"/>
  <c r="A559" i="1"/>
  <c r="E560" i="1"/>
  <c r="D560" i="1"/>
  <c r="C560" i="1"/>
  <c r="B560" i="1"/>
  <c r="A560" i="1"/>
  <c r="E561" i="1"/>
  <c r="D561" i="1"/>
  <c r="C561" i="1"/>
  <c r="B561" i="1"/>
  <c r="A561" i="1"/>
  <c r="E562" i="1"/>
  <c r="D562" i="1"/>
  <c r="C562" i="1"/>
  <c r="B562" i="1"/>
  <c r="A562" i="1"/>
  <c r="E563" i="1"/>
  <c r="D563" i="1"/>
  <c r="C563" i="1"/>
  <c r="B563" i="1"/>
  <c r="A563" i="1"/>
  <c r="E564" i="1"/>
  <c r="D564" i="1"/>
  <c r="C564" i="1"/>
  <c r="B564" i="1"/>
  <c r="A564" i="1"/>
  <c r="E565" i="1"/>
  <c r="D565" i="1"/>
  <c r="C565" i="1"/>
  <c r="B565" i="1"/>
  <c r="A565" i="1"/>
  <c r="E566" i="1"/>
  <c r="D566" i="1"/>
  <c r="C566" i="1"/>
  <c r="B566" i="1"/>
  <c r="A566" i="1"/>
  <c r="E567" i="1"/>
  <c r="D567" i="1"/>
  <c r="C567" i="1"/>
  <c r="B567" i="1"/>
  <c r="A567" i="1"/>
  <c r="E568" i="1"/>
  <c r="D568" i="1"/>
  <c r="C568" i="1"/>
  <c r="B568" i="1"/>
  <c r="A568" i="1"/>
  <c r="E569" i="1"/>
  <c r="D569" i="1"/>
  <c r="C569" i="1"/>
  <c r="B569" i="1"/>
  <c r="A569" i="1"/>
  <c r="E570" i="1"/>
  <c r="D570" i="1"/>
  <c r="C570" i="1"/>
  <c r="B570" i="1"/>
  <c r="A570" i="1"/>
  <c r="E571" i="1"/>
  <c r="D571" i="1"/>
  <c r="C571" i="1"/>
  <c r="B571" i="1"/>
  <c r="A571" i="1"/>
  <c r="E572" i="1"/>
  <c r="D572" i="1"/>
  <c r="C572" i="1"/>
  <c r="B572" i="1"/>
  <c r="A572" i="1"/>
  <c r="E573" i="1"/>
  <c r="D573" i="1"/>
  <c r="C573" i="1"/>
  <c r="B573" i="1"/>
  <c r="A573" i="1"/>
  <c r="E574" i="1"/>
  <c r="D574" i="1"/>
  <c r="C574" i="1"/>
  <c r="B574" i="1"/>
  <c r="A574" i="1"/>
  <c r="E575" i="1"/>
  <c r="D575" i="1"/>
  <c r="C575" i="1"/>
  <c r="B575" i="1"/>
  <c r="A575" i="1"/>
  <c r="E576" i="1"/>
  <c r="D576" i="1"/>
  <c r="C576" i="1"/>
  <c r="B576" i="1"/>
  <c r="A576" i="1"/>
  <c r="E577" i="1"/>
  <c r="D577" i="1"/>
  <c r="C577" i="1"/>
  <c r="B577" i="1"/>
  <c r="A577" i="1"/>
  <c r="E578" i="1"/>
  <c r="D578" i="1"/>
  <c r="C578" i="1"/>
  <c r="B578" i="1"/>
  <c r="A578" i="1"/>
  <c r="E579" i="1"/>
  <c r="D579" i="1"/>
  <c r="C579" i="1"/>
  <c r="B579" i="1"/>
  <c r="A579" i="1"/>
  <c r="E580" i="1"/>
  <c r="D580" i="1"/>
  <c r="C580" i="1"/>
  <c r="B580" i="1"/>
  <c r="A580" i="1"/>
  <c r="E581" i="1"/>
  <c r="D581" i="1"/>
  <c r="C581" i="1"/>
  <c r="B581" i="1"/>
  <c r="A581" i="1"/>
  <c r="E582" i="1"/>
  <c r="D582" i="1"/>
  <c r="C582" i="1"/>
  <c r="B582" i="1"/>
  <c r="A582" i="1"/>
  <c r="E583" i="1"/>
  <c r="D583" i="1"/>
  <c r="C583" i="1"/>
  <c r="B583" i="1"/>
  <c r="A583" i="1"/>
  <c r="E584" i="1"/>
  <c r="D584" i="1"/>
  <c r="C584" i="1"/>
  <c r="B584" i="1"/>
  <c r="A584" i="1"/>
  <c r="E585" i="1"/>
  <c r="D585" i="1"/>
  <c r="C585" i="1"/>
  <c r="B585" i="1"/>
  <c r="A585" i="1"/>
  <c r="E586" i="1"/>
  <c r="D586" i="1"/>
  <c r="C586" i="1"/>
  <c r="B586" i="1"/>
  <c r="A586" i="1"/>
  <c r="E587" i="1"/>
  <c r="D587" i="1"/>
  <c r="C587" i="1"/>
  <c r="B587" i="1"/>
  <c r="A587" i="1"/>
  <c r="E588" i="1"/>
  <c r="D588" i="1"/>
  <c r="C588" i="1"/>
  <c r="B588" i="1"/>
  <c r="A588" i="1"/>
  <c r="E589" i="1"/>
  <c r="D589" i="1"/>
  <c r="C589" i="1"/>
  <c r="B589" i="1"/>
  <c r="A589" i="1"/>
  <c r="E590" i="1"/>
  <c r="D590" i="1"/>
  <c r="C590" i="1"/>
  <c r="B590" i="1"/>
  <c r="A590" i="1"/>
  <c r="E591" i="1"/>
  <c r="D591" i="1"/>
  <c r="C591" i="1"/>
  <c r="B591" i="1"/>
  <c r="A591" i="1"/>
  <c r="E592" i="1"/>
  <c r="D592" i="1"/>
  <c r="C592" i="1"/>
  <c r="B592" i="1"/>
  <c r="A592" i="1"/>
  <c r="E593" i="1"/>
  <c r="D593" i="1"/>
  <c r="C593" i="1"/>
  <c r="B593" i="1"/>
  <c r="A593" i="1"/>
  <c r="E594" i="1"/>
  <c r="D594" i="1"/>
  <c r="C594" i="1"/>
  <c r="B594" i="1"/>
  <c r="A594" i="1"/>
  <c r="E595" i="1"/>
  <c r="D595" i="1"/>
  <c r="C595" i="1"/>
  <c r="B595" i="1"/>
  <c r="A595" i="1"/>
  <c r="E596" i="1"/>
  <c r="D596" i="1"/>
  <c r="C596" i="1"/>
  <c r="B596" i="1"/>
  <c r="A596" i="1"/>
  <c r="E597" i="1"/>
  <c r="D597" i="1"/>
  <c r="C597" i="1"/>
  <c r="B597" i="1"/>
  <c r="A597" i="1"/>
  <c r="E598" i="1"/>
  <c r="D598" i="1"/>
  <c r="C598" i="1"/>
  <c r="B598" i="1"/>
  <c r="A598" i="1"/>
  <c r="E599" i="1"/>
  <c r="D599" i="1"/>
  <c r="C599" i="1"/>
  <c r="B599" i="1"/>
  <c r="A599" i="1"/>
  <c r="E600" i="1"/>
  <c r="D600" i="1"/>
  <c r="C600" i="1"/>
  <c r="B600" i="1"/>
  <c r="A600" i="1"/>
  <c r="E601" i="1"/>
  <c r="D601" i="1"/>
  <c r="C601" i="1"/>
  <c r="B601" i="1"/>
  <c r="A601" i="1"/>
  <c r="E602" i="1"/>
  <c r="D602" i="1"/>
  <c r="C602" i="1"/>
  <c r="B602" i="1"/>
  <c r="A602" i="1"/>
  <c r="E603" i="1"/>
  <c r="D603" i="1"/>
  <c r="C603" i="1"/>
  <c r="B603" i="1"/>
  <c r="A603" i="1"/>
  <c r="E604" i="1"/>
  <c r="D604" i="1"/>
  <c r="C604" i="1"/>
  <c r="B604" i="1"/>
  <c r="A604" i="1"/>
  <c r="E605" i="1"/>
  <c r="D605" i="1"/>
  <c r="C605" i="1"/>
  <c r="B605" i="1"/>
  <c r="A605" i="1"/>
  <c r="E606" i="1"/>
  <c r="D606" i="1"/>
  <c r="C606" i="1"/>
  <c r="B606" i="1"/>
  <c r="A606" i="1"/>
  <c r="E607" i="1"/>
  <c r="D607" i="1"/>
  <c r="C607" i="1"/>
  <c r="B607" i="1"/>
  <c r="A607" i="1"/>
  <c r="E608" i="1"/>
  <c r="D608" i="1"/>
  <c r="C608" i="1"/>
  <c r="B608" i="1"/>
  <c r="A608" i="1"/>
  <c r="E609" i="1"/>
  <c r="D609" i="1"/>
  <c r="C609" i="1"/>
  <c r="B609" i="1"/>
  <c r="A609" i="1"/>
  <c r="E610" i="1"/>
  <c r="D610" i="1"/>
  <c r="C610" i="1"/>
  <c r="B610" i="1"/>
  <c r="A610" i="1"/>
  <c r="E611" i="1"/>
  <c r="D611" i="1"/>
  <c r="C611" i="1"/>
  <c r="B611" i="1"/>
  <c r="A611" i="1"/>
  <c r="E612" i="1"/>
  <c r="D612" i="1"/>
  <c r="C612" i="1"/>
  <c r="B612" i="1"/>
  <c r="A612" i="1"/>
  <c r="E613" i="1"/>
  <c r="D613" i="1"/>
  <c r="C613" i="1"/>
  <c r="B613" i="1"/>
  <c r="A613" i="1"/>
  <c r="E614" i="1"/>
  <c r="D614" i="1"/>
  <c r="C614" i="1"/>
  <c r="B614" i="1"/>
  <c r="A614" i="1"/>
  <c r="E615" i="1"/>
  <c r="D615" i="1"/>
  <c r="C615" i="1"/>
  <c r="B615" i="1"/>
  <c r="A615" i="1"/>
  <c r="E616" i="1"/>
  <c r="D616" i="1"/>
  <c r="C616" i="1"/>
  <c r="B616" i="1"/>
  <c r="A616" i="1"/>
  <c r="E617" i="1"/>
  <c r="D617" i="1"/>
  <c r="C617" i="1"/>
  <c r="B617" i="1"/>
  <c r="A617" i="1"/>
  <c r="E618" i="1"/>
  <c r="D618" i="1"/>
  <c r="C618" i="1"/>
  <c r="B618" i="1"/>
  <c r="A618" i="1"/>
  <c r="E619" i="1"/>
  <c r="D619" i="1"/>
  <c r="C619" i="1"/>
  <c r="B619" i="1"/>
  <c r="A619" i="1"/>
  <c r="E620" i="1"/>
  <c r="D620" i="1"/>
  <c r="C620" i="1"/>
  <c r="B620" i="1"/>
  <c r="A620" i="1"/>
  <c r="E621" i="1"/>
  <c r="D621" i="1"/>
  <c r="C621" i="1"/>
  <c r="B621" i="1"/>
  <c r="A621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<sst xmlns="http://schemas.openxmlformats.org/spreadsheetml/2006/main" count="1" uniqueCount="1">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</sst>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F28C-244D-4443-92DF-CB4B459F8DE7}">
  <dimension ref="A1:E621"/>
  <sheetViews>
    <sheetView tabSelected="1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10.42578125" bestFit="1" customWidth="1"/>
    <col min="2" max="2" width="13.140625" bestFit="1" customWidth="1"/>
    <col min="3" max="3" width="91.28515625" bestFit="1" customWidth="1"/>
    <col min="4" max="4" width="10.140625" bestFit="1" customWidth="1"/>
    <col min="5" max="5" width="9.85546875" bestFit="1" customWidth="1"/>
  </cols>
  <sheetData>
    <row r="1" spans="1:5" x14ac:dyDescent="0.25">
      <c r="A1" s="1" t="s">
        <v>0</v>
      </c>
      <c r="B1" s="1" t="str">
        <f>"UPC"</f>
        <v>UPC</v>
      </c>
      <c r="C1" s="1" t="str">
        <f>"TITLE"</f>
        <v>TITLE</v>
      </c>
      <c r="D1" s="1" t="str">
        <f>"MFG_ID"</f>
        <v>MFG_ID</v>
      </c>
      <c r="E1" s="1" t="str">
        <f>"DAY20"</f>
        <v>DAY20</v>
      </c>
    </row>
    <row r="2" spans="1:5" x14ac:dyDescent="0.25">
      <c r="A2" t="str">
        <f>"308419"</f>
        <v>308419</v>
      </c>
      <c r="B2" t="str">
        <f>"81983773846"</f>
        <v>81983773846</v>
      </c>
      <c r="C2" t="str">
        <f>"EVERYDAY COUNTER-RELATIVE BD MOM PKG/6-J2757"</f>
        <v>EVERYDAY COUNTER-RELATIVE BD MOM PKG/6-J2757</v>
      </c>
      <c r="D2" t="str">
        <f>"J2757"</f>
        <v>J2757</v>
      </c>
      <c r="E2" t="str">
        <f>"ED20A001"</f>
        <v>ED20A001</v>
      </c>
    </row>
    <row r="3" spans="1:5" x14ac:dyDescent="0.25">
      <c r="A3" t="str">
        <f>"279508"</f>
        <v>279508</v>
      </c>
      <c r="B3" t="str">
        <f>"81983773815"</f>
        <v>81983773815</v>
      </c>
      <c r="C3" t="str">
        <f>"EVERYDAY COUNTER-REL BD MOM PKG/6-J5534"</f>
        <v>EVERYDAY COUNTER-REL BD MOM PKG/6-J5534</v>
      </c>
      <c r="D3" t="str">
        <f>"J5534"</f>
        <v>J5534</v>
      </c>
      <c r="E3" t="str">
        <f>"ED20A002"</f>
        <v>ED20A002</v>
      </c>
    </row>
    <row r="4" spans="1:5" x14ac:dyDescent="0.25">
      <c r="A4" t="str">
        <f>"349520"</f>
        <v>349520</v>
      </c>
      <c r="B4" t="str">
        <f>"81983778315"</f>
        <v>81983778315</v>
      </c>
      <c r="C4" t="str">
        <f>"EVERYDAY COUNTER-RELATIVE BIRTHDAY PKG/6-U0452"</f>
        <v>EVERYDAY COUNTER-RELATIVE BIRTHDAY PKG/6-U0452</v>
      </c>
      <c r="D4" t="str">
        <f>"U0452"</f>
        <v>U0452</v>
      </c>
      <c r="E4" t="str">
        <f>"ED20A003"</f>
        <v>ED20A003</v>
      </c>
    </row>
    <row r="5" spans="1:5" x14ac:dyDescent="0.25">
      <c r="A5" t="str">
        <f>"349544"</f>
        <v>349544</v>
      </c>
      <c r="B5" t="str">
        <f>"81983778377"</f>
        <v>81983778377</v>
      </c>
      <c r="C5" t="str">
        <f>"EVERYDAY COUNTER-BIRTHDAY FOR HER PKG/2"</f>
        <v>EVERYDAY COUNTER-BIRTHDAY FOR HER PKG/2</v>
      </c>
      <c r="D5" t="str">
        <f>"U0468"</f>
        <v>U0468</v>
      </c>
      <c r="E5" t="str">
        <f>"ED20A004"</f>
        <v>ED20A004</v>
      </c>
    </row>
    <row r="6" spans="1:5" x14ac:dyDescent="0.25">
      <c r="A6" t="str">
        <f>"349546"</f>
        <v>349546</v>
      </c>
      <c r="B6" t="str">
        <f>"81983778384"</f>
        <v>81983778384</v>
      </c>
      <c r="C6" t="str">
        <f>"EVERYDAY COUNTER-BIRTHDAY FOR HER PKG/2-U0469"</f>
        <v>EVERYDAY COUNTER-BIRTHDAY FOR HER PKG/2-U0469</v>
      </c>
      <c r="D6" t="str">
        <f>"U0469"</f>
        <v>U0469</v>
      </c>
      <c r="E6" t="str">
        <f>"ED20A005"</f>
        <v>ED20A005</v>
      </c>
    </row>
    <row r="7" spans="1:5" x14ac:dyDescent="0.25">
      <c r="A7" t="str">
        <f>"308033"</f>
        <v>308033</v>
      </c>
      <c r="B7" t="str">
        <f>"81983773792"</f>
        <v>81983773792</v>
      </c>
      <c r="C7" t="str">
        <f>"EVERYDAY COUNTER-HUSBAND BIRTHDAY-66686"</f>
        <v>EVERYDAY COUNTER-HUSBAND BIRTHDAY-66686</v>
      </c>
      <c r="D7" t="str">
        <f>"66686"</f>
        <v>66686</v>
      </c>
      <c r="E7" t="str">
        <f>"ED20A006"</f>
        <v>ED20A006</v>
      </c>
    </row>
    <row r="8" spans="1:5" x14ac:dyDescent="0.25">
      <c r="A8" t="str">
        <f>"308410"</f>
        <v>308410</v>
      </c>
      <c r="B8" t="str">
        <f>"81983773624"</f>
        <v>81983773624</v>
      </c>
      <c r="C8" t="str">
        <f>"EVERYDAY COUNTER-RELATIVE BD DAD PKG/6-J2744"</f>
        <v>EVERYDAY COUNTER-RELATIVE BD DAD PKG/6-J2744</v>
      </c>
      <c r="D8" t="str">
        <f>"J2744"</f>
        <v>J2744</v>
      </c>
      <c r="E8" t="str">
        <f>"ED20A007"</f>
        <v>ED20A007</v>
      </c>
    </row>
    <row r="9" spans="1:5" x14ac:dyDescent="0.25">
      <c r="A9" t="str">
        <f>"349516"</f>
        <v>349516</v>
      </c>
      <c r="B9" t="str">
        <f>"81983778285"</f>
        <v>81983778285</v>
      </c>
      <c r="C9" t="str">
        <f>"EVERYDAY COUNTER-RELATIVE BIRTHDAY PKG/6-U0449"</f>
        <v>EVERYDAY COUNTER-RELATIVE BIRTHDAY PKG/6-U0449</v>
      </c>
      <c r="D9" t="str">
        <f>"U0449"</f>
        <v>U0449</v>
      </c>
      <c r="E9" t="str">
        <f>"ED20A008"</f>
        <v>ED20A008</v>
      </c>
    </row>
    <row r="10" spans="1:5" x14ac:dyDescent="0.25">
      <c r="A10" t="str">
        <f>"279744"</f>
        <v>279744</v>
      </c>
      <c r="B10" t="str">
        <f>"81983764226"</f>
        <v>81983764226</v>
      </c>
      <c r="C10" t="str">
        <f>"EVERYDAY COUNTER-RELATIVE BD MOM PKG/6-J9033"</f>
        <v>EVERYDAY COUNTER-RELATIVE BD MOM PKG/6-J9033</v>
      </c>
      <c r="D10" t="str">
        <f>"J9033"</f>
        <v>J9033</v>
      </c>
      <c r="E10" t="str">
        <f>"ED20A009"</f>
        <v>ED20A009</v>
      </c>
    </row>
    <row r="11" spans="1:5" x14ac:dyDescent="0.25">
      <c r="A11" t="str">
        <f>"279515"</f>
        <v>279515</v>
      </c>
      <c r="B11" t="str">
        <f>"81983738722"</f>
        <v>81983738722</v>
      </c>
      <c r="C11" t="str">
        <f>"EVERYDAY COUNTER-REL BD  MOTHER-IN-LAW PKG/6-J5539"</f>
        <v>EVERYDAY COUNTER-REL BD  MOTHER-IN-LAW PKG/6-J5539</v>
      </c>
      <c r="D11" t="str">
        <f>"J5539"</f>
        <v>J5539</v>
      </c>
      <c r="E11" t="str">
        <f>"ED20A010"</f>
        <v>ED20A010</v>
      </c>
    </row>
    <row r="12" spans="1:5" x14ac:dyDescent="0.25">
      <c r="A12" t="str">
        <f>"349519"</f>
        <v>349519</v>
      </c>
      <c r="B12" t="str">
        <f>"81983778308"</f>
        <v>81983778308</v>
      </c>
      <c r="C12" t="str">
        <f>"EVERYDAY COUNTER-RELATIVE BIRTHDAY PKG/6-U0451"</f>
        <v>EVERYDAY COUNTER-RELATIVE BIRTHDAY PKG/6-U0451</v>
      </c>
      <c r="D12" t="str">
        <f>"U0451"</f>
        <v>U0451</v>
      </c>
      <c r="E12" t="str">
        <f>"ED20A011"</f>
        <v>ED20A011</v>
      </c>
    </row>
    <row r="13" spans="1:5" x14ac:dyDescent="0.25">
      <c r="A13" t="str">
        <f>"349529"</f>
        <v>349529</v>
      </c>
      <c r="B13" t="str">
        <f>"81983778476"</f>
        <v>81983778476</v>
      </c>
      <c r="C13" t="str">
        <f>"EVERYDAY COUNTER-BIRTHDAY PKG/6-U0478"</f>
        <v>EVERYDAY COUNTER-BIRTHDAY PKG/6-U0478</v>
      </c>
      <c r="D13" t="str">
        <f>"U0478"</f>
        <v>U0478</v>
      </c>
      <c r="E13" t="str">
        <f>"ED20A012"</f>
        <v>ED20A012</v>
      </c>
    </row>
    <row r="14" spans="1:5" x14ac:dyDescent="0.25">
      <c r="A14" t="str">
        <f>"349530"</f>
        <v>349530</v>
      </c>
      <c r="B14" t="str">
        <f>"81983778483"</f>
        <v>81983778483</v>
      </c>
      <c r="C14" t="str">
        <f>"EVERYDAY COUNTER-BIRTHDAY PKG/6-U0479"</f>
        <v>EVERYDAY COUNTER-BIRTHDAY PKG/6-U0479</v>
      </c>
      <c r="D14" t="str">
        <f>"U0479"</f>
        <v>U0479</v>
      </c>
      <c r="E14" t="str">
        <f>"ED20A013"</f>
        <v>ED20A013</v>
      </c>
    </row>
    <row r="15" spans="1:5" x14ac:dyDescent="0.25">
      <c r="A15" t="str">
        <f>"279740"</f>
        <v>279740</v>
      </c>
      <c r="B15" t="str">
        <f>"81983773785"</f>
        <v>81983773785</v>
      </c>
      <c r="C15" t="str">
        <f>"EVERYDAY COUNTER-RELATIVE BD HUSBAND PKG/6-J9030"</f>
        <v>EVERYDAY COUNTER-RELATIVE BD HUSBAND PKG/6-J9030</v>
      </c>
      <c r="D15" t="str">
        <f>"J9030"</f>
        <v>J9030</v>
      </c>
      <c r="E15" t="str">
        <f>"ED20A014"</f>
        <v>ED20A014</v>
      </c>
    </row>
    <row r="16" spans="1:5" x14ac:dyDescent="0.25">
      <c r="A16" t="str">
        <f>"298715"</f>
        <v>298715</v>
      </c>
      <c r="B16" t="str">
        <f>"81983773617"</f>
        <v>81983773617</v>
      </c>
      <c r="C16" t="str">
        <f>"EVERYDAY COUNTER-BIRTHDAY DAD PKG/6-10300"</f>
        <v>EVERYDAY COUNTER-BIRTHDAY DAD PKG/6-10300</v>
      </c>
      <c r="D16" t="str">
        <f>"10300"</f>
        <v>10300</v>
      </c>
      <c r="E16" t="str">
        <f>"ED20A015"</f>
        <v>ED20A015</v>
      </c>
    </row>
    <row r="17" spans="1:5" x14ac:dyDescent="0.25">
      <c r="A17" t="str">
        <f>"298720"</f>
        <v>298720</v>
      </c>
      <c r="B17" t="str">
        <f>"81983774041"</f>
        <v>81983774041</v>
      </c>
      <c r="C17" t="str">
        <f>"EVERYDAY COUNTER-RELATIVE BDAY-SON-11506"</f>
        <v>EVERYDAY COUNTER-RELATIVE BDAY-SON-11506</v>
      </c>
      <c r="D17" t="str">
        <f>"11506"</f>
        <v>11506</v>
      </c>
      <c r="E17" t="str">
        <f>"ED20A016"</f>
        <v>ED20A016</v>
      </c>
    </row>
    <row r="18" spans="1:5" x14ac:dyDescent="0.25">
      <c r="A18" t="str">
        <f>"349488"</f>
        <v>349488</v>
      </c>
      <c r="B18" t="str">
        <f>"81983778148"</f>
        <v>81983778148</v>
      </c>
      <c r="C18" t="str">
        <f>"EVERYDAY COUNTER-RELATIVE BIRTHDAY PKG/6-U0435"</f>
        <v>EVERYDAY COUNTER-RELATIVE BIRTHDAY PKG/6-U0435</v>
      </c>
      <c r="D18" t="str">
        <f>"U0435"</f>
        <v>U0435</v>
      </c>
      <c r="E18" t="str">
        <f>"ED20A017"</f>
        <v>ED20A017</v>
      </c>
    </row>
    <row r="19" spans="1:5" x14ac:dyDescent="0.25">
      <c r="A19" t="str">
        <f>"349457"</f>
        <v>349457</v>
      </c>
      <c r="B19" t="str">
        <f>"81983778032"</f>
        <v>81983778032</v>
      </c>
      <c r="C19" t="str">
        <f>"EVERYDAY COUNTER-RELATIVE BIRTHDAY PKG/6-U0424"</f>
        <v>EVERYDAY COUNTER-RELATIVE BIRTHDAY PKG/6-U0424</v>
      </c>
      <c r="D19" t="str">
        <f>"U0424"</f>
        <v>U0424</v>
      </c>
      <c r="E19" t="str">
        <f>"ED20A018"</f>
        <v>ED20A018</v>
      </c>
    </row>
    <row r="20" spans="1:5" x14ac:dyDescent="0.25">
      <c r="A20" t="str">
        <f>"308329"</f>
        <v>308329</v>
      </c>
      <c r="B20" t="str">
        <f>"81983685736"</f>
        <v>81983685736</v>
      </c>
      <c r="C20" t="str">
        <f>"EVERYDAY COUNTER-BIRTHDAY WIFE PKG/6-J0359"</f>
        <v>EVERYDAY COUNTER-BIRTHDAY WIFE PKG/6-J0359</v>
      </c>
      <c r="D20" t="str">
        <f>"J0359"</f>
        <v>J0359</v>
      </c>
      <c r="E20" t="str">
        <f>"ED20A019"</f>
        <v>ED20A019</v>
      </c>
    </row>
    <row r="21" spans="1:5" x14ac:dyDescent="0.25">
      <c r="A21" t="str">
        <f>"349531"</f>
        <v>349531</v>
      </c>
      <c r="B21" t="str">
        <f>"81983778490"</f>
        <v>81983778490</v>
      </c>
      <c r="C21" t="str">
        <f>"EVERYDAY COUNTER-BIRTHDAY PKG/6-U0480"</f>
        <v>EVERYDAY COUNTER-BIRTHDAY PKG/6-U0480</v>
      </c>
      <c r="D21" t="str">
        <f>"U0480"</f>
        <v>U0480</v>
      </c>
      <c r="E21" t="str">
        <f>"ED20A020"</f>
        <v>ED20A020</v>
      </c>
    </row>
    <row r="22" spans="1:5" x14ac:dyDescent="0.25">
      <c r="A22" t="str">
        <f>"349532"</f>
        <v>349532</v>
      </c>
      <c r="B22" t="str">
        <f>"81983778506"</f>
        <v>81983778506</v>
      </c>
      <c r="C22" t="str">
        <f>"EVERYDAY COUNTER-BIRTHDAY PKG/6-U0481"</f>
        <v>EVERYDAY COUNTER-BIRTHDAY PKG/6-U0481</v>
      </c>
      <c r="D22" t="str">
        <f>"U0481"</f>
        <v>U0481</v>
      </c>
      <c r="E22" t="str">
        <f>"ED20A021"</f>
        <v>ED20A021</v>
      </c>
    </row>
    <row r="23" spans="1:5" x14ac:dyDescent="0.25">
      <c r="A23" t="str">
        <f>"349472"</f>
        <v>349472</v>
      </c>
      <c r="B23" t="str">
        <f>"81983778100"</f>
        <v>81983778100</v>
      </c>
      <c r="C23" t="str">
        <f>"EVERYDAY COUNTER-RELATIVE BIRTHDAY PKG/6-U0431"</f>
        <v>EVERYDAY COUNTER-RELATIVE BIRTHDAY PKG/6-U0431</v>
      </c>
      <c r="D23" t="str">
        <f>"U0431"</f>
        <v>U0431</v>
      </c>
      <c r="E23" t="str">
        <f>"ED20A022"</f>
        <v>ED20A022</v>
      </c>
    </row>
    <row r="24" spans="1:5" x14ac:dyDescent="0.25">
      <c r="A24" t="str">
        <f>"349460"</f>
        <v>349460</v>
      </c>
      <c r="B24" t="str">
        <f>"81983778063"</f>
        <v>81983778063</v>
      </c>
      <c r="C24" t="str">
        <f>"EVERYDAY COUNTER-RELATIVE BIRTHDAY PKG/6-U0427"</f>
        <v>EVERYDAY COUNTER-RELATIVE BIRTHDAY PKG/6-U0427</v>
      </c>
      <c r="D24" t="str">
        <f>"U0427"</f>
        <v>U0427</v>
      </c>
      <c r="E24" t="str">
        <f>"ED20A023"</f>
        <v>ED20A023</v>
      </c>
    </row>
    <row r="25" spans="1:5" x14ac:dyDescent="0.25">
      <c r="A25" t="str">
        <f>"349514"</f>
        <v>349514</v>
      </c>
      <c r="B25" t="str">
        <f>"81983778278"</f>
        <v>81983778278</v>
      </c>
      <c r="C25" t="str">
        <f>"EVERYDAY COUNTER-RELATIVE BIRTHDAY PKG/6-U0448"</f>
        <v>EVERYDAY COUNTER-RELATIVE BIRTHDAY PKG/6-U0448</v>
      </c>
      <c r="D25" t="str">
        <f>"U0448"</f>
        <v>U0448</v>
      </c>
      <c r="E25" t="str">
        <f>"ED20A024"</f>
        <v>ED20A024</v>
      </c>
    </row>
    <row r="26" spans="1:5" x14ac:dyDescent="0.25">
      <c r="A26" t="str">
        <f>"279746"</f>
        <v>279746</v>
      </c>
      <c r="B26" t="str">
        <f>"81983773822"</f>
        <v>81983773822</v>
      </c>
      <c r="C26" t="str">
        <f>"EVERYDAY COUNTER-RELATIVE BD MOM PKG/6-J9035"</f>
        <v>EVERYDAY COUNTER-RELATIVE BD MOM PKG/6-J9035</v>
      </c>
      <c r="D26" t="str">
        <f>"J9035"</f>
        <v>J9035</v>
      </c>
      <c r="E26" t="str">
        <f>"ED20A025"</f>
        <v>ED20A025</v>
      </c>
    </row>
    <row r="27" spans="1:5" x14ac:dyDescent="0.25">
      <c r="A27" t="str">
        <f>"349454"</f>
        <v>349454</v>
      </c>
      <c r="B27" t="str">
        <f>"81983778025"</f>
        <v>81983778025</v>
      </c>
      <c r="C27" t="str">
        <f>"EVERYDAY COUNTER-RELATIVE BIRTHDAY PKG/6-U0423"</f>
        <v>EVERYDAY COUNTER-RELATIVE BIRTHDAY PKG/6-U0423</v>
      </c>
      <c r="D27" t="str">
        <f>"U0423"</f>
        <v>U0423</v>
      </c>
      <c r="E27" t="str">
        <f>"ED20A026"</f>
        <v>ED20A026</v>
      </c>
    </row>
    <row r="28" spans="1:5" x14ac:dyDescent="0.25">
      <c r="A28" t="str">
        <f>"279770"</f>
        <v>279770</v>
      </c>
      <c r="B28" t="str">
        <f>"81983774201"</f>
        <v>81983774201</v>
      </c>
      <c r="C28" t="str">
        <f>"EVERYDAY COUNTER-RELATIVE BD WIFE PKG/6-J9053"</f>
        <v>EVERYDAY COUNTER-RELATIVE BD WIFE PKG/6-J9053</v>
      </c>
      <c r="D28" t="str">
        <f>"J9053"</f>
        <v>J9053</v>
      </c>
      <c r="E28" t="str">
        <f>"ED20A027"</f>
        <v>ED20A027</v>
      </c>
    </row>
    <row r="29" spans="1:5" x14ac:dyDescent="0.25">
      <c r="A29" t="str">
        <f>"349533"</f>
        <v>349533</v>
      </c>
      <c r="B29" t="str">
        <f>"81983778513"</f>
        <v>81983778513</v>
      </c>
      <c r="C29" t="str">
        <f>"EVERYDAY COUNTER-BIRTHDAY PKG/6-U0482"</f>
        <v>EVERYDAY COUNTER-BIRTHDAY PKG/6-U0482</v>
      </c>
      <c r="D29" t="str">
        <f>"U0482"</f>
        <v>U0482</v>
      </c>
      <c r="E29" t="str">
        <f>"ED20A028"</f>
        <v>ED20A028</v>
      </c>
    </row>
    <row r="30" spans="1:5" x14ac:dyDescent="0.25">
      <c r="A30" t="str">
        <f>"349534"</f>
        <v>349534</v>
      </c>
      <c r="B30" t="str">
        <f>"81983778520"</f>
        <v>81983778520</v>
      </c>
      <c r="C30" t="str">
        <f>"EVERYDAY COUNTER-BIRTHDAY PKG/6-U0483"</f>
        <v>EVERYDAY COUNTER-BIRTHDAY PKG/6-U0483</v>
      </c>
      <c r="D30" t="str">
        <f>"U0483"</f>
        <v>U0483</v>
      </c>
      <c r="E30" t="str">
        <f>"ED20A029"</f>
        <v>ED20A029</v>
      </c>
    </row>
    <row r="31" spans="1:5" x14ac:dyDescent="0.25">
      <c r="A31" t="str">
        <f>"308309"</f>
        <v>308309</v>
      </c>
      <c r="B31" t="str">
        <f>"81983685521"</f>
        <v>81983685521</v>
      </c>
      <c r="C31" t="str">
        <f>"EVERYDAY COUNTER-BIRTHDAY HUSBAND PKG/6-J0338"</f>
        <v>EVERYDAY COUNTER-BIRTHDAY HUSBAND PKG/6-J0338</v>
      </c>
      <c r="D31" t="str">
        <f>"J0338"</f>
        <v>J0338</v>
      </c>
      <c r="E31" t="str">
        <f>"ED20A030"</f>
        <v>ED20A030</v>
      </c>
    </row>
    <row r="32" spans="1:5" x14ac:dyDescent="0.25">
      <c r="A32" t="str">
        <f>"308300"</f>
        <v>308300</v>
      </c>
      <c r="B32" t="str">
        <f>"81983685446"</f>
        <v>81983685446</v>
      </c>
      <c r="C32" t="str">
        <f>"EVERYDAY COUNTER-BIRTHDAY DAD PKG/6-J0330"</f>
        <v>EVERYDAY COUNTER-BIRTHDAY DAD PKG/6-J0330</v>
      </c>
      <c r="D32" t="str">
        <f>"J0330"</f>
        <v>J0330</v>
      </c>
      <c r="E32" t="str">
        <f>"ED20A031"</f>
        <v>ED20A031</v>
      </c>
    </row>
    <row r="33" spans="1:5" x14ac:dyDescent="0.25">
      <c r="A33" t="str">
        <f>"298784"</f>
        <v>298784</v>
      </c>
      <c r="B33" t="str">
        <f>"81983678394"</f>
        <v>81983678394</v>
      </c>
      <c r="C33" t="str">
        <f>"EVERYDAY COUNTER-SON BIRTHDAY-27076"</f>
        <v>EVERYDAY COUNTER-SON BIRTHDAY-27076</v>
      </c>
      <c r="D33" t="str">
        <f>"27076"</f>
        <v>27076</v>
      </c>
      <c r="E33" t="str">
        <f>"ED20A032"</f>
        <v>ED20A032</v>
      </c>
    </row>
    <row r="34" spans="1:5" x14ac:dyDescent="0.25">
      <c r="A34" t="str">
        <f>"308311"</f>
        <v>308311</v>
      </c>
      <c r="B34" t="str">
        <f>"81983685545"</f>
        <v>81983685545</v>
      </c>
      <c r="C34" t="str">
        <f>"EVERYDAY COUNTER-BIRTHDAY MOM PKG/6-J0340"</f>
        <v>EVERYDAY COUNTER-BIRTHDAY MOM PKG/6-J0340</v>
      </c>
      <c r="D34" t="str">
        <f>"J0340"</f>
        <v>J0340</v>
      </c>
      <c r="E34" t="str">
        <f>"ED20A033"</f>
        <v>ED20A033</v>
      </c>
    </row>
    <row r="35" spans="1:5" x14ac:dyDescent="0.25">
      <c r="A35" t="str">
        <f>"279486"</f>
        <v>279486</v>
      </c>
      <c r="B35" t="str">
        <f>"81983773549"</f>
        <v>81983773549</v>
      </c>
      <c r="C35" t="str">
        <f>"EVERYDAY COUNTER-REL BD DAUGHTER ADULT PKG/6-J5518"</f>
        <v>EVERYDAY COUNTER-REL BD DAUGHTER ADULT PKG/6-J5518</v>
      </c>
      <c r="D35" t="str">
        <f>"J5518"</f>
        <v>J5518</v>
      </c>
      <c r="E35" t="str">
        <f>"ED20A034"</f>
        <v>ED20A034</v>
      </c>
    </row>
    <row r="36" spans="1:5" x14ac:dyDescent="0.25">
      <c r="A36" t="str">
        <f>"298666"</f>
        <v>298666</v>
      </c>
      <c r="B36" t="str">
        <f>"81983774225"</f>
        <v>81983774225</v>
      </c>
      <c r="C36" t="str">
        <f>"EVERYDAY COUNTER-BDAY WIFE PKG/6-10230"</f>
        <v>EVERYDAY COUNTER-BDAY WIFE PKG/6-10230</v>
      </c>
      <c r="D36" t="str">
        <f>"10230"</f>
        <v>10230</v>
      </c>
      <c r="E36" t="str">
        <f>"ED20A035"</f>
        <v>ED20A035</v>
      </c>
    </row>
    <row r="37" spans="1:5" x14ac:dyDescent="0.25">
      <c r="A37" t="str">
        <f>"349507"</f>
        <v>349507</v>
      </c>
      <c r="B37" t="str">
        <f>"81983778193"</f>
        <v>81983778193</v>
      </c>
      <c r="C37" t="str">
        <f>"EVERYDAY COUNTER-RELATIVE BIRTHDAY PKG/6-U0440"</f>
        <v>EVERYDAY COUNTER-RELATIVE BIRTHDAY PKG/6-U0440</v>
      </c>
      <c r="D37" t="str">
        <f>"U0440"</f>
        <v>U0440</v>
      </c>
      <c r="E37" t="str">
        <f>"ED20A036"</f>
        <v>ED20A036</v>
      </c>
    </row>
    <row r="38" spans="1:5" x14ac:dyDescent="0.25">
      <c r="A38" t="str">
        <f>"279753"</f>
        <v>279753</v>
      </c>
      <c r="B38" t="str">
        <f>"81983773969"</f>
        <v>81983773969</v>
      </c>
      <c r="C38" t="str">
        <f>"EVERYDAY COUNTER-RELATIVE BD ONE I LOVE MASC PKG/6-J9041"</f>
        <v>EVERYDAY COUNTER-RELATIVE BD ONE I LOVE MASC PKG/6-J9041</v>
      </c>
      <c r="D38" t="str">
        <f>"J9041"</f>
        <v>J9041</v>
      </c>
      <c r="E38" t="str">
        <f>"ED20A037"</f>
        <v>ED20A037</v>
      </c>
    </row>
    <row r="39" spans="1:5" x14ac:dyDescent="0.25">
      <c r="A39" t="str">
        <f>"308416"</f>
        <v>308416</v>
      </c>
      <c r="B39" t="str">
        <f>"81983715266"</f>
        <v>81983715266</v>
      </c>
      <c r="C39" t="str">
        <f>"EVERYDAY COUNTER-RELATIVE BD HUSBAND PKG/6-J2752"</f>
        <v>EVERYDAY COUNTER-RELATIVE BD HUSBAND PKG/6-J2752</v>
      </c>
      <c r="D39" t="str">
        <f>"J2752"</f>
        <v>J2752</v>
      </c>
      <c r="E39" t="str">
        <f>"ED20A038"</f>
        <v>ED20A038</v>
      </c>
    </row>
    <row r="40" spans="1:5" x14ac:dyDescent="0.25">
      <c r="A40" t="str">
        <f>"298688"</f>
        <v>298688</v>
      </c>
      <c r="B40" t="str">
        <f>"81983652127"</f>
        <v>81983652127</v>
      </c>
      <c r="C40" t="str">
        <f>"EVERYDAY COUNTER-BIRTHDAY DAD PKG/6-10261"</f>
        <v>EVERYDAY COUNTER-BIRTHDAY DAD PKG/6-10261</v>
      </c>
      <c r="D40" t="str">
        <f>"10261"</f>
        <v>10261</v>
      </c>
      <c r="E40" t="str">
        <f>"ED20A039"</f>
        <v>ED20A039</v>
      </c>
    </row>
    <row r="41" spans="1:5" x14ac:dyDescent="0.25">
      <c r="A41" t="str">
        <f>"298716"</f>
        <v>298716</v>
      </c>
      <c r="B41" t="str">
        <f>"81983774133"</f>
        <v>81983774133</v>
      </c>
      <c r="C41" t="str">
        <f>"EVERYDAY COUNTER-BIRTHDAY SON PKG/6-10302"</f>
        <v>EVERYDAY COUNTER-BIRTHDAY SON PKG/6-10302</v>
      </c>
      <c r="D41" t="str">
        <f>"10302"</f>
        <v>10302</v>
      </c>
      <c r="E41" t="str">
        <f>"ED20A040"</f>
        <v>ED20A040</v>
      </c>
    </row>
    <row r="42" spans="1:5" x14ac:dyDescent="0.25">
      <c r="A42" t="str">
        <f>"349490"</f>
        <v>349490</v>
      </c>
      <c r="B42" t="str">
        <f>"81983778131"</f>
        <v>81983778131</v>
      </c>
      <c r="C42" t="str">
        <f>"EVERYDAY COUNTER-RELATIVE BIRTHDAY PKG/6-U0434"</f>
        <v>EVERYDAY COUNTER-RELATIVE BIRTHDAY PKG/6-U0434</v>
      </c>
      <c r="D42" t="str">
        <f>"U0434"</f>
        <v>U0434</v>
      </c>
      <c r="E42" t="str">
        <f>"ED20A041"</f>
        <v>ED20A041</v>
      </c>
    </row>
    <row r="43" spans="1:5" x14ac:dyDescent="0.25">
      <c r="A43" t="str">
        <f>"349456"</f>
        <v>349456</v>
      </c>
      <c r="B43" t="str">
        <f>"81983778018"</f>
        <v>81983778018</v>
      </c>
      <c r="C43" t="str">
        <f>"EVERYDAY COUNTER-RELATIVE BIRTHDAY PKG/6-U0422"</f>
        <v>EVERYDAY COUNTER-RELATIVE BIRTHDAY PKG/6-U0422</v>
      </c>
      <c r="D43" t="str">
        <f>"U0422"</f>
        <v>U0422</v>
      </c>
      <c r="E43" t="str">
        <f>"ED20A042"</f>
        <v>ED20A042</v>
      </c>
    </row>
    <row r="44" spans="1:5" x14ac:dyDescent="0.25">
      <c r="A44" t="str">
        <f>"279532"</f>
        <v>279532</v>
      </c>
      <c r="B44" t="str">
        <f>"81983738883"</f>
        <v>81983738883</v>
      </c>
      <c r="C44" t="str">
        <f>"EVERYDAY COUNTER-REL BD WIFE PKG/6-J5555"</f>
        <v>EVERYDAY COUNTER-REL BD WIFE PKG/6-J5555</v>
      </c>
      <c r="D44" t="str">
        <f>"J5555"</f>
        <v>J5555</v>
      </c>
      <c r="E44" t="str">
        <f>"ED20A043"</f>
        <v>ED20A043</v>
      </c>
    </row>
    <row r="45" spans="1:5" x14ac:dyDescent="0.25">
      <c r="A45" t="str">
        <f>"349508"</f>
        <v>349508</v>
      </c>
      <c r="B45" t="str">
        <f>"81983778209"</f>
        <v>81983778209</v>
      </c>
      <c r="C45" t="str">
        <f>"EVERYDAY COUNTER-RELATIVE BIRTHDAY PKG/6-U0441"</f>
        <v>EVERYDAY COUNTER-RELATIVE BIRTHDAY PKG/6-U0441</v>
      </c>
      <c r="D45" t="str">
        <f>"U0441"</f>
        <v>U0441</v>
      </c>
      <c r="E45" t="str">
        <f>"ED20A044"</f>
        <v>ED20A044</v>
      </c>
    </row>
    <row r="46" spans="1:5" x14ac:dyDescent="0.25">
      <c r="A46" t="str">
        <f>"308318"</f>
        <v>308318</v>
      </c>
      <c r="B46" t="str">
        <f>"81983685620"</f>
        <v>81983685620</v>
      </c>
      <c r="C46" t="str">
        <f>"EVERYDAY COUNTER-BIRTHDAY FOR HIM PKG/6-J0348"</f>
        <v>EVERYDAY COUNTER-BIRTHDAY FOR HIM PKG/6-J0348</v>
      </c>
      <c r="D46" t="str">
        <f>"J0348"</f>
        <v>J0348</v>
      </c>
      <c r="E46" t="str">
        <f>"ED20A045"</f>
        <v>ED20A045</v>
      </c>
    </row>
    <row r="47" spans="1:5" x14ac:dyDescent="0.25">
      <c r="A47" t="str">
        <f>"298690"</f>
        <v>298690</v>
      </c>
      <c r="B47" t="str">
        <f>"81983773808"</f>
        <v>81983773808</v>
      </c>
      <c r="C47" t="str">
        <f>"EVERYDAY COUNTER-BIRTHDAY HUSBAND PKG/6-10266"</f>
        <v>EVERYDAY COUNTER-BIRTHDAY HUSBAND PKG/6-10266</v>
      </c>
      <c r="D47" t="str">
        <f>"10266"</f>
        <v>10266</v>
      </c>
      <c r="E47" t="str">
        <f>"ED20A046"</f>
        <v>ED20A046</v>
      </c>
    </row>
    <row r="48" spans="1:5" x14ac:dyDescent="0.25">
      <c r="A48" t="str">
        <f>"279736"</f>
        <v>279736</v>
      </c>
      <c r="B48" t="str">
        <f>"81983764158"</f>
        <v>81983764158</v>
      </c>
      <c r="C48" t="str">
        <f>"EVERYDAY COUNTER-RELATIVE BD DAD PKG/6-J9026"</f>
        <v>EVERYDAY COUNTER-RELATIVE BD DAD PKG/6-J9026</v>
      </c>
      <c r="D48" t="str">
        <f>"J9026"</f>
        <v>J9026</v>
      </c>
      <c r="E48" t="str">
        <f>"ED20A047"</f>
        <v>ED20A047</v>
      </c>
    </row>
    <row r="49" spans="1:5" x14ac:dyDescent="0.25">
      <c r="A49" t="str">
        <f>"279763"</f>
        <v>279763</v>
      </c>
      <c r="B49" t="str">
        <f>"81983764387"</f>
        <v>81983764387</v>
      </c>
      <c r="C49" t="str">
        <f>"EVERYDAY COUNTER-RELATIVE BD SON PKG/6-J9049"</f>
        <v>EVERYDAY COUNTER-RELATIVE BD SON PKG/6-J9049</v>
      </c>
      <c r="D49" t="str">
        <f>"J9049"</f>
        <v>J9049</v>
      </c>
      <c r="E49" t="str">
        <f>"ED20A048"</f>
        <v>ED20A048</v>
      </c>
    </row>
    <row r="50" spans="1:5" x14ac:dyDescent="0.25">
      <c r="A50" t="str">
        <f>"349491"</f>
        <v>349491</v>
      </c>
      <c r="B50" t="str">
        <f>"81983778124"</f>
        <v>81983778124</v>
      </c>
      <c r="C50" t="str">
        <f>"EVERYDAY COUNTER-RELATIVE BIRTHDAY PKG/6-U0433"</f>
        <v>EVERYDAY COUNTER-RELATIVE BIRTHDAY PKG/6-U0433</v>
      </c>
      <c r="D50" t="str">
        <f>"U0433"</f>
        <v>U0433</v>
      </c>
      <c r="E50" t="str">
        <f>"ED20A049"</f>
        <v>ED20A049</v>
      </c>
    </row>
    <row r="51" spans="1:5" x14ac:dyDescent="0.25">
      <c r="A51" t="str">
        <f>"308409"</f>
        <v>308409</v>
      </c>
      <c r="B51" t="str">
        <f>"81983715174"</f>
        <v>81983715174</v>
      </c>
      <c r="C51" t="str">
        <f>"EVERYDAY COUNTER-RELATIVE BD DAUGHTER PKG/6-J2743"</f>
        <v>EVERYDAY COUNTER-RELATIVE BD DAUGHTER PKG/6-J2743</v>
      </c>
      <c r="D51" t="str">
        <f>"J2743"</f>
        <v>J2743</v>
      </c>
      <c r="E51" t="str">
        <f>"ED20A050"</f>
        <v>ED20A050</v>
      </c>
    </row>
    <row r="52" spans="1:5" x14ac:dyDescent="0.25">
      <c r="A52" t="str">
        <f>"307892"</f>
        <v>307892</v>
      </c>
      <c r="B52" t="str">
        <f>"81983774249"</f>
        <v>81983774249</v>
      </c>
      <c r="C52" t="str">
        <f>"EVERYDAY COUNTER-RELATIVE BDAY-WIFE-44113"</f>
        <v>EVERYDAY COUNTER-RELATIVE BDAY-WIFE-44113</v>
      </c>
      <c r="D52" t="str">
        <f>"44113"</f>
        <v>44113</v>
      </c>
      <c r="E52" t="str">
        <f>"ED20A051"</f>
        <v>ED20A051</v>
      </c>
    </row>
    <row r="53" spans="1:5" x14ac:dyDescent="0.25">
      <c r="A53" t="str">
        <f>"308320"</f>
        <v>308320</v>
      </c>
      <c r="B53" t="str">
        <f>"81983685644"</f>
        <v>81983685644</v>
      </c>
      <c r="C53" t="str">
        <f>"EVERYDAY COUNTER-BIRTHDAY SPOUSE PKG/6-J0350"</f>
        <v>EVERYDAY COUNTER-BIRTHDAY SPOUSE PKG/6-J0350</v>
      </c>
      <c r="D53" t="str">
        <f>"J0350"</f>
        <v>J0350</v>
      </c>
      <c r="E53" t="str">
        <f>"ED20A052"</f>
        <v>ED20A052</v>
      </c>
    </row>
    <row r="54" spans="1:5" x14ac:dyDescent="0.25">
      <c r="A54" t="str">
        <f>"279500"</f>
        <v>279500</v>
      </c>
      <c r="B54" t="str">
        <f>"81983738616"</f>
        <v>81983738616</v>
      </c>
      <c r="C54" t="str">
        <f>"EVERYDAY COUNTER-REL BIRTHDAY GRANDMOTHER PKG/6-J5528"</f>
        <v>EVERYDAY COUNTER-REL BIRTHDAY GRANDMOTHER PKG/6-J5528</v>
      </c>
      <c r="D54" t="str">
        <f>"J5528"</f>
        <v>J5528</v>
      </c>
      <c r="E54" t="str">
        <f>"ED20A053"</f>
        <v>ED20A053</v>
      </c>
    </row>
    <row r="55" spans="1:5" x14ac:dyDescent="0.25">
      <c r="A55" t="str">
        <f>"298689"</f>
        <v>298689</v>
      </c>
      <c r="B55" t="str">
        <f>"81983652158"</f>
        <v>81983652158</v>
      </c>
      <c r="C55" t="str">
        <f>"EVERYDAY COUNTER-BIRTHDAY HUSBAND PKG/6-10264"</f>
        <v>EVERYDAY COUNTER-BIRTHDAY HUSBAND PKG/6-10264</v>
      </c>
      <c r="D55" t="str">
        <f>"10264"</f>
        <v>10264</v>
      </c>
      <c r="E55" t="str">
        <f>"ED20A054"</f>
        <v>ED20A054</v>
      </c>
    </row>
    <row r="56" spans="1:5" x14ac:dyDescent="0.25">
      <c r="A56" t="str">
        <f>"298790"</f>
        <v>298790</v>
      </c>
      <c r="B56" t="str">
        <f>"81983603389"</f>
        <v>81983603389</v>
      </c>
      <c r="C56" t="str">
        <f>"EVERYDAY COUNTER-DAD-39185"</f>
        <v>EVERYDAY COUNTER-DAD-39185</v>
      </c>
      <c r="D56" t="str">
        <f>"39185"</f>
        <v>39185</v>
      </c>
      <c r="E56" t="str">
        <f>"ED20A055"</f>
        <v>ED20A055</v>
      </c>
    </row>
    <row r="57" spans="1:5" x14ac:dyDescent="0.25">
      <c r="A57" t="str">
        <f>"349517"</f>
        <v>349517</v>
      </c>
      <c r="B57" t="str">
        <f>"81983778261"</f>
        <v>81983778261</v>
      </c>
      <c r="C57" t="str">
        <f>"EVERYDAY COUNTER-RELATIVE BIRTHDAY PKG/6-U0447"</f>
        <v>EVERYDAY COUNTER-RELATIVE BIRTHDAY PKG/6-U0447</v>
      </c>
      <c r="D57" t="str">
        <f>"U0447"</f>
        <v>U0447</v>
      </c>
      <c r="E57" t="str">
        <f>"ED20A056"</f>
        <v>ED20A056</v>
      </c>
    </row>
    <row r="58" spans="1:5" x14ac:dyDescent="0.25">
      <c r="A58" t="str">
        <f>"349487"</f>
        <v>349487</v>
      </c>
      <c r="B58" t="str">
        <f>"81983778117"</f>
        <v>81983778117</v>
      </c>
      <c r="C58" t="str">
        <f>"EVERYDAY COUNTER-RELATIVE BIRTHDAY PKG/6-U0432"</f>
        <v>EVERYDAY COUNTER-RELATIVE BIRTHDAY PKG/6-U0432</v>
      </c>
      <c r="D58" t="str">
        <f>"U0432"</f>
        <v>U0432</v>
      </c>
      <c r="E58" t="str">
        <f>"ED20A057"</f>
        <v>ED20A057</v>
      </c>
    </row>
    <row r="59" spans="1:5" x14ac:dyDescent="0.25">
      <c r="A59" t="str">
        <f>"308028"</f>
        <v>308028</v>
      </c>
      <c r="B59" t="str">
        <f>"81983678608"</f>
        <v>81983678608</v>
      </c>
      <c r="C59" t="str">
        <f>"EVERYDAY COUNTER-DAUGHTER (ADULT) BIRTHDAY-66671"</f>
        <v>EVERYDAY COUNTER-DAUGHTER (ADULT) BIRTHDAY-66671</v>
      </c>
      <c r="D59" t="str">
        <f>"66671"</f>
        <v>66671</v>
      </c>
      <c r="E59" t="str">
        <f>"ED20A058"</f>
        <v>ED20A058</v>
      </c>
    </row>
    <row r="60" spans="1:5" x14ac:dyDescent="0.25">
      <c r="A60" t="str">
        <f>"298695"</f>
        <v>298695</v>
      </c>
      <c r="B60" t="str">
        <f>"81983652264"</f>
        <v>81983652264</v>
      </c>
      <c r="C60" t="str">
        <f>"EVERYDAY COUNTER-BIRTHDAY SISTER PKG/6-10272"</f>
        <v>EVERYDAY COUNTER-BIRTHDAY SISTER PKG/6-10272</v>
      </c>
      <c r="D60" t="str">
        <f>"10272"</f>
        <v>10272</v>
      </c>
      <c r="E60" t="str">
        <f>"ED20A059"</f>
        <v>ED20A059</v>
      </c>
    </row>
    <row r="61" spans="1:5" x14ac:dyDescent="0.25">
      <c r="A61" t="str">
        <f>"349512"</f>
        <v>349512</v>
      </c>
      <c r="B61" t="str">
        <f>"81983778223"</f>
        <v>81983778223</v>
      </c>
      <c r="C61" t="str">
        <f>"EVERYDAY COUNTER-RELATIVE BIRTHDAY PKG/6-U0443"</f>
        <v>EVERYDAY COUNTER-RELATIVE BIRTHDAY PKG/6-U0443</v>
      </c>
      <c r="D61" t="str">
        <f>"U0443"</f>
        <v>U0443</v>
      </c>
      <c r="E61" t="str">
        <f>"ED20A060"</f>
        <v>ED20A060</v>
      </c>
    </row>
    <row r="62" spans="1:5" x14ac:dyDescent="0.25">
      <c r="A62" t="str">
        <f>"279497"</f>
        <v>279497</v>
      </c>
      <c r="B62" t="str">
        <f>"81983738609"</f>
        <v>81983738609</v>
      </c>
      <c r="C62" t="str">
        <f>"EVERYDAY COUNTER-REL BIRTHDAY GRANDMA PKG/6-J5527"</f>
        <v>EVERYDAY COUNTER-REL BIRTHDAY GRANDMA PKG/6-J5527</v>
      </c>
      <c r="D62" t="str">
        <f>"J5527"</f>
        <v>J5527</v>
      </c>
      <c r="E62" t="str">
        <f>"ED20A061"</f>
        <v>ED20A061</v>
      </c>
    </row>
    <row r="63" spans="1:5" x14ac:dyDescent="0.25">
      <c r="A63" t="str">
        <f>"401603"</f>
        <v>401603</v>
      </c>
      <c r="B63" t="str">
        <f>"81983738647"</f>
        <v>81983738647</v>
      </c>
      <c r="C63" t="str">
        <f>"EVERYDAY COUNTER-REL BD HUSBAND-NON REL PKG/6-J5531"</f>
        <v>EVERYDAY COUNTER-REL BD HUSBAND-NON REL PKG/6-J5531</v>
      </c>
      <c r="D63" t="str">
        <f>"J5531"</f>
        <v>J5531</v>
      </c>
      <c r="E63" t="str">
        <f>"ED20A062"</f>
        <v>ED20A062</v>
      </c>
    </row>
    <row r="64" spans="1:5" x14ac:dyDescent="0.25">
      <c r="A64" t="str">
        <f>"349461"</f>
        <v>349461</v>
      </c>
      <c r="B64" t="str">
        <f>"81983778070"</f>
        <v>81983778070</v>
      </c>
      <c r="C64" t="str">
        <f>"EVERYDAY COUNTER-RELATIVE BIRTHDAY PKG/6-U0428"</f>
        <v>EVERYDAY COUNTER-RELATIVE BIRTHDAY PKG/6-U0428</v>
      </c>
      <c r="D64" t="str">
        <f>"U0428"</f>
        <v>U0428</v>
      </c>
      <c r="E64" t="str">
        <f>"ED20A063"</f>
        <v>ED20A063</v>
      </c>
    </row>
    <row r="65" spans="1:5" x14ac:dyDescent="0.25">
      <c r="A65" t="str">
        <f>"349515"</f>
        <v>349515</v>
      </c>
      <c r="B65" t="str">
        <f>"81983778254"</f>
        <v>81983778254</v>
      </c>
      <c r="C65" t="str">
        <f>"EVERYDAY COUNTER-RELATIVE BIRTHDAY PKG/6-U0446"</f>
        <v>EVERYDAY COUNTER-RELATIVE BIRTHDAY PKG/6-U0446</v>
      </c>
      <c r="D65" t="str">
        <f>"U0446"</f>
        <v>U0446</v>
      </c>
      <c r="E65" t="str">
        <f>"ED20A064"</f>
        <v>ED20A064</v>
      </c>
    </row>
    <row r="66" spans="1:5" x14ac:dyDescent="0.25">
      <c r="A66" t="str">
        <f>"380075"</f>
        <v>380075</v>
      </c>
      <c r="B66" t="str">
        <f>"81983603631"</f>
        <v>81983603631</v>
      </c>
      <c r="C66" t="str">
        <f>"EVERYDAY COUNTER-BIRTHDAY MOM PKG/6-27204"</f>
        <v>EVERYDAY COUNTER-BIRTHDAY MOM PKG/6-27204</v>
      </c>
      <c r="D66" t="str">
        <f>"27204"</f>
        <v>27204</v>
      </c>
      <c r="E66" t="str">
        <f>"ED20A065"</f>
        <v>ED20A065</v>
      </c>
    </row>
    <row r="67" spans="1:5" x14ac:dyDescent="0.25">
      <c r="A67" t="str">
        <f>"279733"</f>
        <v>279733</v>
      </c>
      <c r="B67" t="str">
        <f>"81983773600"</f>
        <v>81983773600</v>
      </c>
      <c r="C67" t="str">
        <f>"EVERYDAY COUNTER-RELATIVE BD DAUGHTER TEEN PKG/6-J9023"</f>
        <v>EVERYDAY COUNTER-RELATIVE BD DAUGHTER TEEN PKG/6-J9023</v>
      </c>
      <c r="D67" t="str">
        <f>"J9023"</f>
        <v>J9023</v>
      </c>
      <c r="E67" t="str">
        <f>"ED20A066"</f>
        <v>ED20A066</v>
      </c>
    </row>
    <row r="68" spans="1:5" x14ac:dyDescent="0.25">
      <c r="A68" t="str">
        <f>"308323"</f>
        <v>308323</v>
      </c>
      <c r="B68" t="str">
        <f>"81983774003"</f>
        <v>81983774003</v>
      </c>
      <c r="C68" t="str">
        <f>"EVERYDAY COUNTER-BIRTHDAY SISTER PKG/6-J0353"</f>
        <v>EVERYDAY COUNTER-BIRTHDAY SISTER PKG/6-J0353</v>
      </c>
      <c r="D68" t="str">
        <f>"J0353"</f>
        <v>J0353</v>
      </c>
      <c r="E68" t="str">
        <f>"ED20A067"</f>
        <v>ED20A067</v>
      </c>
    </row>
    <row r="69" spans="1:5" x14ac:dyDescent="0.25">
      <c r="A69" t="str">
        <f>"308141"</f>
        <v>308141</v>
      </c>
      <c r="B69" t="str">
        <f>"81983678660"</f>
        <v>81983678660</v>
      </c>
      <c r="C69" t="str">
        <f>"EVERYDAY COUNTER-RELATIVE BIRTHDAY SISTER-82365"</f>
        <v>EVERYDAY COUNTER-RELATIVE BIRTHDAY SISTER-82365</v>
      </c>
      <c r="D69" t="str">
        <f>"82365"</f>
        <v>82365</v>
      </c>
      <c r="E69" t="str">
        <f>"ED20A068"</f>
        <v>ED20A068</v>
      </c>
    </row>
    <row r="70" spans="1:5" x14ac:dyDescent="0.25">
      <c r="A70" t="str">
        <f>"279496"</f>
        <v>279496</v>
      </c>
      <c r="B70" t="str">
        <f>"81983773679"</f>
        <v>81983773679</v>
      </c>
      <c r="C70" t="str">
        <f>"EVERYDAY COUNTER-REL BIRTHDAY GRANDMA PKG/6-J5526"</f>
        <v>EVERYDAY COUNTER-REL BIRTHDAY GRANDMA PKG/6-J5526</v>
      </c>
      <c r="D70" t="str">
        <f>"J5526"</f>
        <v>J5526</v>
      </c>
      <c r="E70" t="str">
        <f>"ED20A069"</f>
        <v>ED20A069</v>
      </c>
    </row>
    <row r="71" spans="1:5" x14ac:dyDescent="0.25">
      <c r="A71" t="str">
        <f>"308406"</f>
        <v>308406</v>
      </c>
      <c r="B71" t="str">
        <f>"81983715129"</f>
        <v>81983715129</v>
      </c>
      <c r="C71" t="str">
        <f>"EVERYDAY COUNTER-RELATIVE BD AUNT PKG/6-J2738"</f>
        <v>EVERYDAY COUNTER-RELATIVE BD AUNT PKG/6-J2738</v>
      </c>
      <c r="D71" t="str">
        <f>"J2738"</f>
        <v>J2738</v>
      </c>
      <c r="E71" t="str">
        <f>"ED20A070"</f>
        <v>ED20A070</v>
      </c>
    </row>
    <row r="72" spans="1:5" x14ac:dyDescent="0.25">
      <c r="A72" t="str">
        <f>"279766"</f>
        <v>279766</v>
      </c>
      <c r="B72" t="str">
        <f>"81983764394"</f>
        <v>81983764394</v>
      </c>
      <c r="C72" t="str">
        <f>"EVERYDAY COUNTER-RELATIVE BD SON-IN-LAW PKG/6-J9050"</f>
        <v>EVERYDAY COUNTER-RELATIVE BD SON-IN-LAW PKG/6-J9050</v>
      </c>
      <c r="D72" t="str">
        <f>"J9050"</f>
        <v>J9050</v>
      </c>
      <c r="E72" t="str">
        <f>"ED20A071"</f>
        <v>ED20A071</v>
      </c>
    </row>
    <row r="73" spans="1:5" x14ac:dyDescent="0.25">
      <c r="A73" t="str">
        <f>"298721"</f>
        <v>298721</v>
      </c>
      <c r="B73" t="str">
        <f>"81983678264"</f>
        <v>81983678264</v>
      </c>
      <c r="C73" t="str">
        <f>"EVERYDAY COUNTER-RELATIVE BDAY-SON-11507"</f>
        <v>EVERYDAY COUNTER-RELATIVE BDAY-SON-11507</v>
      </c>
      <c r="D73" t="str">
        <f>"11507"</f>
        <v>11507</v>
      </c>
      <c r="E73" t="str">
        <f>"ED20A072"</f>
        <v>ED20A072</v>
      </c>
    </row>
    <row r="74" spans="1:5" x14ac:dyDescent="0.25">
      <c r="A74" t="str">
        <f>"308420"</f>
        <v>308420</v>
      </c>
      <c r="B74" t="str">
        <f>"81983773860"</f>
        <v>81983773860</v>
      </c>
      <c r="C74" t="str">
        <f>"EVERYDAY COUNTER-RELATIVE BD MOTHER PKG/6-J2758"</f>
        <v>EVERYDAY COUNTER-RELATIVE BD MOTHER PKG/6-J2758</v>
      </c>
      <c r="D74" t="str">
        <f>"J2758"</f>
        <v>J2758</v>
      </c>
      <c r="E74" t="str">
        <f>"ED20A073"</f>
        <v>ED20A073</v>
      </c>
    </row>
    <row r="75" spans="1:5" x14ac:dyDescent="0.25">
      <c r="A75" t="str">
        <f>"308299"</f>
        <v>308299</v>
      </c>
      <c r="B75" t="str">
        <f>"81983685415"</f>
        <v>81983685415</v>
      </c>
      <c r="C75" t="str">
        <f>"EVERYDAY COUNTER-BIRTHDAY DAUGHTER TEEN PKG/6-J0327"</f>
        <v>EVERYDAY COUNTER-BIRTHDAY DAUGHTER TEEN PKG/6-J0327</v>
      </c>
      <c r="D75" t="str">
        <f>"J0327"</f>
        <v>J0327</v>
      </c>
      <c r="E75" t="str">
        <f>"ED20A074"</f>
        <v>ED20A074</v>
      </c>
    </row>
    <row r="76" spans="1:5" x14ac:dyDescent="0.25">
      <c r="A76" t="str">
        <f>"349509"</f>
        <v>349509</v>
      </c>
      <c r="B76" t="str">
        <f>"81983778216"</f>
        <v>81983778216</v>
      </c>
      <c r="C76" t="str">
        <f>"EVERYDAY COUNTER-RELATIVE BIRTHDAY PKG/6-U0442"</f>
        <v>EVERYDAY COUNTER-RELATIVE BIRTHDAY PKG/6-U0442</v>
      </c>
      <c r="D76" t="str">
        <f>"U0442"</f>
        <v>U0442</v>
      </c>
      <c r="E76" t="str">
        <f>"ED20A075"</f>
        <v>ED20A075</v>
      </c>
    </row>
    <row r="77" spans="1:5" x14ac:dyDescent="0.25">
      <c r="A77" t="str">
        <f>"298694"</f>
        <v>298694</v>
      </c>
      <c r="B77" t="str">
        <f>"81983652257"</f>
        <v>81983652257</v>
      </c>
      <c r="C77" t="str">
        <f>"EVERYDAY COUNTER-BIRTHDAY SISTER PKG/6-10271"</f>
        <v>EVERYDAY COUNTER-BIRTHDAY SISTER PKG/6-10271</v>
      </c>
      <c r="D77" t="str">
        <f>"10271"</f>
        <v>10271</v>
      </c>
      <c r="E77" t="str">
        <f>"ED20A076"</f>
        <v>ED20A076</v>
      </c>
    </row>
    <row r="78" spans="1:5" x14ac:dyDescent="0.25">
      <c r="A78" t="str">
        <f>"298785"</f>
        <v>298785</v>
      </c>
      <c r="B78" t="str">
        <f>"81983550416"</f>
        <v>81983550416</v>
      </c>
      <c r="C78" t="str">
        <f>"EVERYDAY COUNTER-GRANDDAUGHTER BIRTHDAY-27079"</f>
        <v>EVERYDAY COUNTER-GRANDDAUGHTER BIRTHDAY-27079</v>
      </c>
      <c r="D78" t="str">
        <f>"27079"</f>
        <v>27079</v>
      </c>
      <c r="E78" t="str">
        <f>"ED20A077"</f>
        <v>ED20A077</v>
      </c>
    </row>
    <row r="79" spans="1:5" x14ac:dyDescent="0.25">
      <c r="A79" t="str">
        <f>"349449"</f>
        <v>349449</v>
      </c>
      <c r="B79" t="str">
        <f>"81983777974"</f>
        <v>81983777974</v>
      </c>
      <c r="C79" t="str">
        <f>"EVERYDAY COUNTER-RELATIVE BIRTHDAY PKG/6-U0418"</f>
        <v>EVERYDAY COUNTER-RELATIVE BIRTHDAY PKG/6-U0418</v>
      </c>
      <c r="D79" t="str">
        <f>"U0418"</f>
        <v>U0418</v>
      </c>
      <c r="E79" t="str">
        <f>"ED20A078"</f>
        <v>ED20A078</v>
      </c>
    </row>
    <row r="80" spans="1:5" x14ac:dyDescent="0.25">
      <c r="A80" t="str">
        <f>"279528"</f>
        <v>279528</v>
      </c>
      <c r="B80" t="str">
        <f>"81983738845"</f>
        <v>81983738845</v>
      </c>
      <c r="C80" t="str">
        <f>"EVERYDAY COUNTER-REL BD SON-IN-LAW PKG/6-J5551"</f>
        <v>EVERYDAY COUNTER-REL BD SON-IN-LAW PKG/6-J5551</v>
      </c>
      <c r="D80" t="str">
        <f>"J5551"</f>
        <v>J5551</v>
      </c>
      <c r="E80" t="str">
        <f>"ED20A079"</f>
        <v>ED20A079</v>
      </c>
    </row>
    <row r="81" spans="1:5" x14ac:dyDescent="0.25">
      <c r="A81" t="str">
        <f>"349518"</f>
        <v>349518</v>
      </c>
      <c r="B81" t="str">
        <f>"81983778292"</f>
        <v>81983778292</v>
      </c>
      <c r="C81" t="str">
        <f>"EVERYDAY COUNTER-RELATIVE BIRTHDAY PKG/6-U0450"</f>
        <v>EVERYDAY COUNTER-RELATIVE BIRTHDAY PKG/6-U0450</v>
      </c>
      <c r="D81" t="str">
        <f>"U0450"</f>
        <v>U0450</v>
      </c>
      <c r="E81" t="str">
        <f>"ED20A080"</f>
        <v>ED20A080</v>
      </c>
    </row>
    <row r="82" spans="1:5" x14ac:dyDescent="0.25">
      <c r="A82" t="str">
        <f>"308272"</f>
        <v>308272</v>
      </c>
      <c r="B82" t="str">
        <f>"81983682483"</f>
        <v>81983682483</v>
      </c>
      <c r="C82" t="str">
        <f>"EVERYDAY COUNTER-RELATIVE BDAY-MOTHER PKG/6-J0022"</f>
        <v>EVERYDAY COUNTER-RELATIVE BDAY-MOTHER PKG/6-J0022</v>
      </c>
      <c r="D82" t="str">
        <f>"J0022"</f>
        <v>J0022</v>
      </c>
      <c r="E82" t="str">
        <f>"ED20A081"</f>
        <v>ED20A081</v>
      </c>
    </row>
    <row r="83" spans="1:5" x14ac:dyDescent="0.25">
      <c r="A83" t="str">
        <f>"307930"</f>
        <v>307930</v>
      </c>
      <c r="B83" t="str">
        <f>"81983612954"</f>
        <v>81983612954</v>
      </c>
      <c r="C83" t="str">
        <f>"EVERYDAY COUNTER-DAUGHTER BIRTHDAY pkg/4-44464"</f>
        <v>EVERYDAY COUNTER-DAUGHTER BIRTHDAY pkg/4-44464</v>
      </c>
      <c r="D83" t="str">
        <f>"44464"</f>
        <v>44464</v>
      </c>
      <c r="E83" t="str">
        <f>"ED20A082"</f>
        <v>ED20A082</v>
      </c>
    </row>
    <row r="84" spans="1:5" x14ac:dyDescent="0.25">
      <c r="A84" t="str">
        <f>"349511"</f>
        <v>349511</v>
      </c>
      <c r="B84" t="str">
        <f>"81983778230"</f>
        <v>81983778230</v>
      </c>
      <c r="C84" t="str">
        <f>"EVERYDAY COUNTER-RELATIVE BIRTHDAY PKG/6-U0444"</f>
        <v>EVERYDAY COUNTER-RELATIVE BIRTHDAY PKG/6-U0444</v>
      </c>
      <c r="D84" t="str">
        <f>"U0444"</f>
        <v>U0444</v>
      </c>
      <c r="E84" t="str">
        <f>"ED20A083"</f>
        <v>ED20A083</v>
      </c>
    </row>
    <row r="85" spans="1:5" x14ac:dyDescent="0.25">
      <c r="A85" t="str">
        <f>"298696"</f>
        <v>298696</v>
      </c>
      <c r="B85" t="str">
        <f>"81983652288"</f>
        <v>81983652288</v>
      </c>
      <c r="C85" t="str">
        <f>"EVERYDAY COUNTER-BIRTHDAY SISTER PKG/6-10273"</f>
        <v>EVERYDAY COUNTER-BIRTHDAY SISTER PKG/6-10273</v>
      </c>
      <c r="D85" t="str">
        <f>"10273"</f>
        <v>10273</v>
      </c>
      <c r="E85" t="str">
        <f>"ED20A084"</f>
        <v>ED20A084</v>
      </c>
    </row>
    <row r="86" spans="1:5" x14ac:dyDescent="0.25">
      <c r="A86" t="str">
        <f>"308098"</f>
        <v>308098</v>
      </c>
      <c r="B86" t="str">
        <f>"81983644085"</f>
        <v>81983644085</v>
      </c>
      <c r="C86" t="str">
        <f>"EVERYDAY COUNTER-BDAY GRANDDAUGHTER-76278"</f>
        <v>EVERYDAY COUNTER-BDAY GRANDDAUGHTER-76278</v>
      </c>
      <c r="D86" t="str">
        <f>"76278"</f>
        <v>76278</v>
      </c>
      <c r="E86" t="str">
        <f>"ED20A085"</f>
        <v>ED20A085</v>
      </c>
    </row>
    <row r="87" spans="1:5" x14ac:dyDescent="0.25">
      <c r="A87" t="str">
        <f>"279492"</f>
        <v>279492</v>
      </c>
      <c r="B87" t="str">
        <f>"81983738555"</f>
        <v>81983738555</v>
      </c>
      <c r="C87" t="str">
        <f>"EVERYDAY COUNTER-REL BD GRANDDAUGHTER ADULT PKG/6-J5522"</f>
        <v>EVERYDAY COUNTER-REL BD GRANDDAUGHTER ADULT PKG/6-J5522</v>
      </c>
      <c r="D87" t="str">
        <f>"J5522"</f>
        <v>J5522</v>
      </c>
      <c r="E87" t="str">
        <f>"ED20A086"</f>
        <v>ED20A086</v>
      </c>
    </row>
    <row r="88" spans="1:5" x14ac:dyDescent="0.25">
      <c r="A88" t="str">
        <f>"279481"</f>
        <v>279481</v>
      </c>
      <c r="B88" t="str">
        <f>"81983773532"</f>
        <v>81983773532</v>
      </c>
      <c r="C88" t="str">
        <f>"EVERYDAY COUNTER-REL BD AUNT FROM CHILD PKG/6-J5514"</f>
        <v>EVERYDAY COUNTER-REL BD AUNT FROM CHILD PKG/6-J5514</v>
      </c>
      <c r="D88" t="str">
        <f>"J5514"</f>
        <v>J5514</v>
      </c>
      <c r="E88" t="str">
        <f>"ED20A087"</f>
        <v>ED20A087</v>
      </c>
    </row>
    <row r="89" spans="1:5" x14ac:dyDescent="0.25">
      <c r="A89" t="str">
        <f>"308314"</f>
        <v>308314</v>
      </c>
      <c r="B89" t="str">
        <f>"81983685590"</f>
        <v>81983685590</v>
      </c>
      <c r="C89" t="str">
        <f>"EVERYDAY COUNTER-BIRTHDAY NEPHEW PKG/6-J0345"</f>
        <v>EVERYDAY COUNTER-BIRTHDAY NEPHEW PKG/6-J0345</v>
      </c>
      <c r="D89" t="str">
        <f>"J0345"</f>
        <v>J0345</v>
      </c>
      <c r="E89" t="str">
        <f>"ED20A088"</f>
        <v>ED20A088</v>
      </c>
    </row>
    <row r="90" spans="1:5" x14ac:dyDescent="0.25">
      <c r="A90" t="str">
        <f>"308424"</f>
        <v>308424</v>
      </c>
      <c r="B90" t="str">
        <f>"81983774188"</f>
        <v>81983774188</v>
      </c>
      <c r="C90" t="str">
        <f>"EVERYDAY COUNTER-RELATIVE BD SON- JUV PKG/6"</f>
        <v>EVERYDAY COUNTER-RELATIVE BD SON- JUV PKG/6</v>
      </c>
      <c r="D90" t="str">
        <f>"J2770"</f>
        <v>J2770</v>
      </c>
      <c r="E90" t="str">
        <f>"ED20A089"</f>
        <v>ED20A089</v>
      </c>
    </row>
    <row r="91" spans="1:5" x14ac:dyDescent="0.25">
      <c r="A91" t="str">
        <f>"349492"</f>
        <v>349492</v>
      </c>
      <c r="B91" t="str">
        <f>"81983778162"</f>
        <v>81983778162</v>
      </c>
      <c r="C91" t="str">
        <f>"EVERYDAY COUNTER-RELATIVE BIRTHDAY PKG/6-U0437"</f>
        <v>EVERYDAY COUNTER-RELATIVE BIRTHDAY PKG/6-U0437</v>
      </c>
      <c r="D91" t="str">
        <f>"U0437"</f>
        <v>U0437</v>
      </c>
      <c r="E91" t="str">
        <f>"ED20A090"</f>
        <v>ED20A090</v>
      </c>
    </row>
    <row r="92" spans="1:5" x14ac:dyDescent="0.25">
      <c r="A92" t="str">
        <f>"298761"</f>
        <v>298761</v>
      </c>
      <c r="B92" t="str">
        <f>"81983773594"</f>
        <v>81983773594</v>
      </c>
      <c r="C92" t="str">
        <f>"EVERYDAY COUNTER-RELATIVE BDAY-DAUGHTER-11770"</f>
        <v>EVERYDAY COUNTER-RELATIVE BDAY-DAUGHTER-11770</v>
      </c>
      <c r="D92" t="str">
        <f>"11770"</f>
        <v>11770</v>
      </c>
      <c r="E92" t="str">
        <f>"ED20A091"</f>
        <v>ED20A091</v>
      </c>
    </row>
    <row r="93" spans="1:5" x14ac:dyDescent="0.25">
      <c r="A93" t="str">
        <f>"349453"</f>
        <v>349453</v>
      </c>
      <c r="B93" t="str">
        <f>"81983778049"</f>
        <v>81983778049</v>
      </c>
      <c r="C93" t="str">
        <f>"EVERYDAY COUNTER-RELATIVE BIRTHDAY PKG/6-U0425"</f>
        <v>EVERYDAY COUNTER-RELATIVE BIRTHDAY PKG/6-U0425</v>
      </c>
      <c r="D93" t="str">
        <f>"U0425"</f>
        <v>U0425</v>
      </c>
      <c r="E93" t="str">
        <f>"ED20A092"</f>
        <v>ED20A092</v>
      </c>
    </row>
    <row r="94" spans="1:5" x14ac:dyDescent="0.25">
      <c r="A94" t="str">
        <f>"307961"</f>
        <v>307961</v>
      </c>
      <c r="B94" t="str">
        <f>"81983678530"</f>
        <v>81983678530</v>
      </c>
      <c r="C94" t="str">
        <f>"EVERYDAY COUNTER-REL BDAY-SISTER-55101"</f>
        <v>EVERYDAY COUNTER-REL BDAY-SISTER-55101</v>
      </c>
      <c r="D94" t="str">
        <f>"55101"</f>
        <v>55101</v>
      </c>
      <c r="E94" t="str">
        <f>"ED20A093"</f>
        <v>ED20A093</v>
      </c>
    </row>
    <row r="95" spans="1:5" x14ac:dyDescent="0.25">
      <c r="A95" t="str">
        <f>"279739"</f>
        <v>279739</v>
      </c>
      <c r="B95" t="str">
        <f>"81983764189"</f>
        <v>81983764189</v>
      </c>
      <c r="C95" t="str">
        <f>"EVERYDAY COUNTER-RELATIVE BD GRANDDAUGHTER PKG/6-J9029"</f>
        <v>EVERYDAY COUNTER-RELATIVE BD GRANDDAUGHTER PKG/6-J9029</v>
      </c>
      <c r="D95" t="str">
        <f>"J9029"</f>
        <v>J9029</v>
      </c>
      <c r="E95" t="str">
        <f>"ED20A094"</f>
        <v>ED20A094</v>
      </c>
    </row>
    <row r="96" spans="1:5" x14ac:dyDescent="0.25">
      <c r="A96" t="str">
        <f>"279737"</f>
        <v>279737</v>
      </c>
      <c r="B96" t="str">
        <f>"81983764165"</f>
        <v>81983764165</v>
      </c>
      <c r="C96" t="str">
        <f>"EVERYDAY COUNTER-RELATIVE BD GRANDDAUGHTER PKG/6-J9027"</f>
        <v>EVERYDAY COUNTER-RELATIVE BD GRANDDAUGHTER PKG/6-J9027</v>
      </c>
      <c r="D96" t="str">
        <f>"J9027"</f>
        <v>J9027</v>
      </c>
      <c r="E96" t="str">
        <f>"ED20A095"</f>
        <v>ED20A095</v>
      </c>
    </row>
    <row r="97" spans="1:5" x14ac:dyDescent="0.25">
      <c r="A97" t="str">
        <f>"349506"</f>
        <v>349506</v>
      </c>
      <c r="B97" t="str">
        <f>"81983778179"</f>
        <v>81983778179</v>
      </c>
      <c r="C97" t="str">
        <f>"EVERYDAY COUNTER-RELATIVE BIRTHDAY PKG/6-U0438"</f>
        <v>EVERYDAY COUNTER-RELATIVE BIRTHDAY PKG/6-U0438</v>
      </c>
      <c r="D97" t="str">
        <f>"U0438"</f>
        <v>U0438</v>
      </c>
      <c r="E97" t="str">
        <f>"ED20A096"</f>
        <v>ED20A096</v>
      </c>
    </row>
    <row r="98" spans="1:5" x14ac:dyDescent="0.25">
      <c r="A98" t="str">
        <f>"279751"</f>
        <v>279751</v>
      </c>
      <c r="B98" t="str">
        <f>"81983764288"</f>
        <v>81983764288</v>
      </c>
      <c r="C98" t="str">
        <f>"EVERYDAY COUNTER-RELATIVE BD NEPHEW PKG/6-J9039"</f>
        <v>EVERYDAY COUNTER-RELATIVE BD NEPHEW PKG/6-J9039</v>
      </c>
      <c r="D98" t="str">
        <f>"J9039"</f>
        <v>J9039</v>
      </c>
      <c r="E98" t="str">
        <f>"ED20A097"</f>
        <v>ED20A097</v>
      </c>
    </row>
    <row r="99" spans="1:5" x14ac:dyDescent="0.25">
      <c r="A99" t="str">
        <f>"279529"</f>
        <v>279529</v>
      </c>
      <c r="B99" t="str">
        <f>"81983738852"</f>
        <v>81983738852</v>
      </c>
      <c r="C99" t="str">
        <f>"EVERYDAY COUNTER-REL BD SON TEEN PKG/6-J5552"</f>
        <v>EVERYDAY COUNTER-REL BD SON TEEN PKG/6-J5552</v>
      </c>
      <c r="D99" t="str">
        <f>"J5552"</f>
        <v>J5552</v>
      </c>
      <c r="E99" t="str">
        <f>"ED20A098"</f>
        <v>ED20A098</v>
      </c>
    </row>
    <row r="100" spans="1:5" x14ac:dyDescent="0.25">
      <c r="A100" t="str">
        <f>"279750"</f>
        <v>279750</v>
      </c>
      <c r="B100" t="str">
        <f>"81983773914"</f>
        <v>81983773914</v>
      </c>
      <c r="C100" t="str">
        <f>"EVERYDAY COUNTER-RELATIVE BD MOTHER PKG/6-J9038"</f>
        <v>EVERYDAY COUNTER-RELATIVE BD MOTHER PKG/6-J9038</v>
      </c>
      <c r="D100" t="str">
        <f>"J9038"</f>
        <v>J9038</v>
      </c>
      <c r="E100" t="str">
        <f>"ED20A099"</f>
        <v>ED20A099</v>
      </c>
    </row>
    <row r="101" spans="1:5" x14ac:dyDescent="0.25">
      <c r="A101" t="str">
        <f>"279732"</f>
        <v>279732</v>
      </c>
      <c r="B101" t="str">
        <f>"81983764110"</f>
        <v>81983764110</v>
      </c>
      <c r="C101" t="str">
        <f>"EVERYDAY COUNTER-RELATIVE BD DAUGHTER JUVENILE PKG/6-J9022"</f>
        <v>EVERYDAY COUNTER-RELATIVE BD DAUGHTER JUVENILE PKG/6-J9022</v>
      </c>
      <c r="D101" t="str">
        <f>"J9022"</f>
        <v>J9022</v>
      </c>
      <c r="E101" t="str">
        <f>"ED20A100"</f>
        <v>ED20A100</v>
      </c>
    </row>
    <row r="102" spans="1:5" x14ac:dyDescent="0.25">
      <c r="A102" t="str">
        <f>"349458"</f>
        <v>349458</v>
      </c>
      <c r="B102" t="str">
        <f>"81983778056"</f>
        <v>81983778056</v>
      </c>
      <c r="C102" t="str">
        <f>"EVERYDAY COUNTER-RELATIVE BIRTHDAY PKG/6-U0426"</f>
        <v>EVERYDAY COUNTER-RELATIVE BIRTHDAY PKG/6-U0426</v>
      </c>
      <c r="D102" t="str">
        <f>"U0426"</f>
        <v>U0426</v>
      </c>
      <c r="E102" t="str">
        <f>"ED20A101"</f>
        <v>ED20A101</v>
      </c>
    </row>
    <row r="103" spans="1:5" x14ac:dyDescent="0.25">
      <c r="A103" t="str">
        <f>"279760"</f>
        <v>279760</v>
      </c>
      <c r="B103" t="str">
        <f>"81983764356"</f>
        <v>81983764356</v>
      </c>
      <c r="C103" t="str">
        <f>"EVERYDAY COUNTER-RELATIVE BD SISTER IN LAW PKG/6-J9046"</f>
        <v>EVERYDAY COUNTER-RELATIVE BD SISTER IN LAW PKG/6-J9046</v>
      </c>
      <c r="D103" t="str">
        <f>"J9046"</f>
        <v>J9046</v>
      </c>
      <c r="E103" t="str">
        <f>"ED20A102"</f>
        <v>ED20A102</v>
      </c>
    </row>
    <row r="104" spans="1:5" x14ac:dyDescent="0.25">
      <c r="A104" t="str">
        <f>"279738"</f>
        <v>279738</v>
      </c>
      <c r="B104" t="str">
        <f>"81983764172"</f>
        <v>81983764172</v>
      </c>
      <c r="C104" t="str">
        <f>"EVERYDAY COUNTER-RELATIVE BD GRANDDAUGHTER JUVE PKG/6-J9028"</f>
        <v>EVERYDAY COUNTER-RELATIVE BD GRANDDAUGHTER JUVE PKG/6-J9028</v>
      </c>
      <c r="D104" t="str">
        <f>"J9028"</f>
        <v>J9028</v>
      </c>
      <c r="E104" t="str">
        <f>"ED20A103"</f>
        <v>ED20A103</v>
      </c>
    </row>
    <row r="105" spans="1:5" x14ac:dyDescent="0.25">
      <c r="A105" t="str">
        <f>"307931"</f>
        <v>307931</v>
      </c>
      <c r="B105" t="str">
        <f>"81983612992"</f>
        <v>81983612992</v>
      </c>
      <c r="C105" t="str">
        <f>"EVERYDAY COUNTER-RELATIVE BDAY-GRANDDAUGHTER-44470"</f>
        <v>EVERYDAY COUNTER-RELATIVE BDAY-GRANDDAUGHTER-44470</v>
      </c>
      <c r="D105" t="str">
        <f>"44470"</f>
        <v>44470</v>
      </c>
      <c r="E105" t="str">
        <f>"ED20A104"</f>
        <v>ED20A104</v>
      </c>
    </row>
    <row r="106" spans="1:5" x14ac:dyDescent="0.25">
      <c r="A106" t="str">
        <f>"279752"</f>
        <v>279752</v>
      </c>
      <c r="B106" t="str">
        <f>"81983764295"</f>
        <v>81983764295</v>
      </c>
      <c r="C106" t="str">
        <f>"EVERYDAY COUNTER-RELATIVE BD NIECE ADULT PKG/6-J9040"</f>
        <v>EVERYDAY COUNTER-RELATIVE BD NIECE ADULT PKG/6-J9040</v>
      </c>
      <c r="D106" t="str">
        <f>"J9040"</f>
        <v>J9040</v>
      </c>
      <c r="E106" t="str">
        <f>"ED20A105"</f>
        <v>ED20A105</v>
      </c>
    </row>
    <row r="107" spans="1:5" x14ac:dyDescent="0.25">
      <c r="A107" t="str">
        <f>"279517"</f>
        <v>279517</v>
      </c>
      <c r="B107" t="str">
        <f>"81983738746"</f>
        <v>81983738746</v>
      </c>
      <c r="C107" t="str">
        <f>"EVERYDAY COUNTER-REL BD NEPHEW ADULT PKG/6-J5541"</f>
        <v>EVERYDAY COUNTER-REL BD NEPHEW ADULT PKG/6-J5541</v>
      </c>
      <c r="D107" t="str">
        <f>"J5541"</f>
        <v>J5541</v>
      </c>
      <c r="E107" t="str">
        <f>"ED20A106"</f>
        <v>ED20A106</v>
      </c>
    </row>
    <row r="108" spans="1:5" x14ac:dyDescent="0.25">
      <c r="A108" t="str">
        <f>"279518"</f>
        <v>279518</v>
      </c>
      <c r="B108" t="str">
        <f>"81983738753"</f>
        <v>81983738753</v>
      </c>
      <c r="C108" t="str">
        <f>"EVERYDAY COUNTER-REL BD NEPHEW JUV PKG/6-J5542"</f>
        <v>EVERYDAY COUNTER-REL BD NEPHEW JUV PKG/6-J5542</v>
      </c>
      <c r="D108" t="str">
        <f>"J5542"</f>
        <v>J5542</v>
      </c>
      <c r="E108" t="str">
        <f>"ED20A107"</f>
        <v>ED20A107</v>
      </c>
    </row>
    <row r="109" spans="1:5" x14ac:dyDescent="0.25">
      <c r="A109" t="str">
        <f>"349489"</f>
        <v>349489</v>
      </c>
      <c r="B109" t="str">
        <f>"81983778155"</f>
        <v>81983778155</v>
      </c>
      <c r="C109" t="str">
        <f>"EVERYDAY COUNTER-RELATIVE BIRTHDAY PKG/6-U0436"</f>
        <v>EVERYDAY COUNTER-RELATIVE BIRTHDAY PKG/6-U0436</v>
      </c>
      <c r="D109" t="str">
        <f>"U0436"</f>
        <v>U0436</v>
      </c>
      <c r="E109" t="str">
        <f>"ED20A108"</f>
        <v>ED20A108</v>
      </c>
    </row>
    <row r="110" spans="1:5" x14ac:dyDescent="0.25">
      <c r="A110" t="str">
        <f>"279516"</f>
        <v>279516</v>
      </c>
      <c r="B110" t="str">
        <f>"81983738739"</f>
        <v>81983738739</v>
      </c>
      <c r="C110" t="str">
        <f>"EVERYDAY COUNTER-REL BD STEP MOTHER PKG/6-J5540"</f>
        <v>EVERYDAY COUNTER-REL BD STEP MOTHER PKG/6-J5540</v>
      </c>
      <c r="D110" t="str">
        <f>"J5540"</f>
        <v>J5540</v>
      </c>
      <c r="E110" t="str">
        <f>"ED20A109"</f>
        <v>ED20A109</v>
      </c>
    </row>
    <row r="111" spans="1:5" x14ac:dyDescent="0.25">
      <c r="A111" t="str">
        <f>"308298"</f>
        <v>308298</v>
      </c>
      <c r="B111" t="str">
        <f>"81983685408"</f>
        <v>81983685408</v>
      </c>
      <c r="C111" t="str">
        <f>"EVERYDAY COUNTER-BIRTHDAY DAUGHTER-IN-LAW PKG/6-J0326"</f>
        <v>EVERYDAY COUNTER-BIRTHDAY DAUGHTER-IN-LAW PKG/6-J0326</v>
      </c>
      <c r="D111" t="str">
        <f>"J0326"</f>
        <v>J0326</v>
      </c>
      <c r="E111" t="str">
        <f>"ED20A110"</f>
        <v>ED20A110</v>
      </c>
    </row>
    <row r="112" spans="1:5" x14ac:dyDescent="0.25">
      <c r="A112" t="str">
        <f>"349510"</f>
        <v>349510</v>
      </c>
      <c r="B112" t="str">
        <f>"81983778247"</f>
        <v>81983778247</v>
      </c>
      <c r="C112" t="str">
        <f>"EVERYDAY COUNTER-RELATIVE BIRTHDAY PKG/6-U0445"</f>
        <v>EVERYDAY COUNTER-RELATIVE BIRTHDAY PKG/6-U0445</v>
      </c>
      <c r="D112" t="str">
        <f>"U0445"</f>
        <v>U0445</v>
      </c>
      <c r="E112" t="str">
        <f>"ED20A111"</f>
        <v>ED20A111</v>
      </c>
    </row>
    <row r="113" spans="1:5" x14ac:dyDescent="0.25">
      <c r="A113" t="str">
        <f>"308303"</f>
        <v>308303</v>
      </c>
      <c r="B113" t="str">
        <f>"81983773648"</f>
        <v>81983773648</v>
      </c>
      <c r="C113" t="str">
        <f>"EVERYDAY COUNTER-BIRTHDAY GRANDDAUGHTER PKG/6-J0333"</f>
        <v>EVERYDAY COUNTER-BIRTHDAY GRANDDAUGHTER PKG/6-J0333</v>
      </c>
      <c r="D113" t="str">
        <f>"J0333"</f>
        <v>J0333</v>
      </c>
      <c r="E113" t="str">
        <f>"ED20A112"</f>
        <v>ED20A112</v>
      </c>
    </row>
    <row r="114" spans="1:5" x14ac:dyDescent="0.25">
      <c r="A114" t="str">
        <f>"308031"</f>
        <v>308031</v>
      </c>
      <c r="B114" t="str">
        <f>"81983589317"</f>
        <v>81983589317</v>
      </c>
      <c r="C114" t="str">
        <f>"EVERYDAY COUNTER-GREAT GRANDDAUGHTER (JUV) BIRTHDAY-66684"</f>
        <v>EVERYDAY COUNTER-GREAT GRANDDAUGHTER (JUV) BIRTHDAY-66684</v>
      </c>
      <c r="D114" t="str">
        <f>"66684"</f>
        <v>66684</v>
      </c>
      <c r="E114" t="str">
        <f>"ED20A113"</f>
        <v>ED20A113</v>
      </c>
    </row>
    <row r="115" spans="1:5" x14ac:dyDescent="0.25">
      <c r="A115" t="str">
        <f>"279520"</f>
        <v>279520</v>
      </c>
      <c r="B115" t="str">
        <f>"81983738777"</f>
        <v>81983738777</v>
      </c>
      <c r="C115" t="str">
        <f>"EVERYDAY COUNTER-REL BD NIECE TEEN PKG/6-J5544"</f>
        <v>EVERYDAY COUNTER-REL BD NIECE TEEN PKG/6-J5544</v>
      </c>
      <c r="D115" t="str">
        <f>"J5544"</f>
        <v>J5544</v>
      </c>
      <c r="E115" t="str">
        <f>"ED20A114"</f>
        <v>ED20A114</v>
      </c>
    </row>
    <row r="116" spans="1:5" x14ac:dyDescent="0.25">
      <c r="A116" t="str">
        <f>"349505"</f>
        <v>349505</v>
      </c>
      <c r="B116" t="str">
        <f>"81983778186"</f>
        <v>81983778186</v>
      </c>
      <c r="C116" t="str">
        <f>"EVERYDAY COUNTER-RELATIVE BIRTHDAY PKG/6-U0439"</f>
        <v>EVERYDAY COUNTER-RELATIVE BIRTHDAY PKG/6-U0439</v>
      </c>
      <c r="D116" t="str">
        <f>"U0439"</f>
        <v>U0439</v>
      </c>
      <c r="E116" t="str">
        <f>"ED20A115"</f>
        <v>ED20A115</v>
      </c>
    </row>
    <row r="117" spans="1:5" x14ac:dyDescent="0.25">
      <c r="A117" t="str">
        <f>"279530"</f>
        <v>279530</v>
      </c>
      <c r="B117" t="str">
        <f>"81983738869"</f>
        <v>81983738869</v>
      </c>
      <c r="C117" t="str">
        <f>"EVERYDAY COUNTER-REL BD UNCLE FROM CHILD PKG/6-J5553"</f>
        <v>EVERYDAY COUNTER-REL BD UNCLE FROM CHILD PKG/6-J5553</v>
      </c>
      <c r="D117" t="str">
        <f>"J5553"</f>
        <v>J5553</v>
      </c>
      <c r="E117" t="str">
        <f>"ED20A116"</f>
        <v>ED20A116</v>
      </c>
    </row>
    <row r="118" spans="1:5" x14ac:dyDescent="0.25">
      <c r="A118" t="str">
        <f>"308296"</f>
        <v>308296</v>
      </c>
      <c r="B118" t="str">
        <f>"81983685385"</f>
        <v>81983685385</v>
      </c>
      <c r="C118" t="str">
        <f>"EVERYDAY COUNTER-BIRTHDAY BROTHER PKG/6-J0324"</f>
        <v>EVERYDAY COUNTER-BIRTHDAY BROTHER PKG/6-J0324</v>
      </c>
      <c r="D118" t="str">
        <f>"J0324"</f>
        <v>J0324</v>
      </c>
      <c r="E118" t="str">
        <f>"ED20B001"</f>
        <v>ED20B001</v>
      </c>
    </row>
    <row r="119" spans="1:5" x14ac:dyDescent="0.25">
      <c r="A119" t="str">
        <f>"349462"</f>
        <v>349462</v>
      </c>
      <c r="B119" t="str">
        <f>"81983777714"</f>
        <v>81983777714</v>
      </c>
      <c r="C119" t="str">
        <f>"EVERYDAY COUNTER-BIRTHDAY PKG/6-U0392"</f>
        <v>EVERYDAY COUNTER-BIRTHDAY PKG/6-U0392</v>
      </c>
      <c r="D119" t="str">
        <f>"U0392"</f>
        <v>U0392</v>
      </c>
      <c r="E119" t="str">
        <f>"ED20B002"</f>
        <v>ED20B002</v>
      </c>
    </row>
    <row r="120" spans="1:5" x14ac:dyDescent="0.25">
      <c r="A120" t="str">
        <f>"349464"</f>
        <v>349464</v>
      </c>
      <c r="B120" t="str">
        <f>"81983777585"</f>
        <v>81983777585</v>
      </c>
      <c r="C120" t="str">
        <f>"EVERYDAY COUNTER-BIRTHDAY PKG/6-U0379"</f>
        <v>EVERYDAY COUNTER-BIRTHDAY PKG/6-U0379</v>
      </c>
      <c r="D120" t="str">
        <f>"U0379"</f>
        <v>U0379</v>
      </c>
      <c r="E120" t="str">
        <f>"ED20B003"</f>
        <v>ED20B003</v>
      </c>
    </row>
    <row r="121" spans="1:5" x14ac:dyDescent="0.25">
      <c r="A121" t="str">
        <f>"349541"</f>
        <v>349541</v>
      </c>
      <c r="B121" t="str">
        <f>"81983778391"</f>
        <v>81983778391</v>
      </c>
      <c r="C121" t="str">
        <f>"EVERYDAY COUNTER-BIRTHDAY PKG/2-U0470"</f>
        <v>EVERYDAY COUNTER-BIRTHDAY PKG/2-U0470</v>
      </c>
      <c r="D121" t="str">
        <f>"U0470"</f>
        <v>U0470</v>
      </c>
      <c r="E121" t="str">
        <f>"ED20B004"</f>
        <v>ED20B004</v>
      </c>
    </row>
    <row r="122" spans="1:5" x14ac:dyDescent="0.25">
      <c r="A122" t="str">
        <f>"349542"</f>
        <v>349542</v>
      </c>
      <c r="B122" t="str">
        <f>"81983778407"</f>
        <v>81983778407</v>
      </c>
      <c r="C122" t="str">
        <f>"EVERYDAY COUNTER-BIRTHDAY PKG/2-U0471"</f>
        <v>EVERYDAY COUNTER-BIRTHDAY PKG/2-U0471</v>
      </c>
      <c r="D122" t="str">
        <f>"U0471"</f>
        <v>U0471</v>
      </c>
      <c r="E122" t="str">
        <f>"ED20B005"</f>
        <v>ED20B005</v>
      </c>
    </row>
    <row r="123" spans="1:5" x14ac:dyDescent="0.25">
      <c r="A123" t="str">
        <f>"349476"</f>
        <v>349476</v>
      </c>
      <c r="B123" t="str">
        <f>"81983777776"</f>
        <v>81983777776</v>
      </c>
      <c r="C123" t="str">
        <f>"EVERYDAY COUNTER-BIRTHDAY PKG/6-U0398"</f>
        <v>EVERYDAY COUNTER-BIRTHDAY PKG/6-U0398</v>
      </c>
      <c r="D123" t="str">
        <f>"U0398"</f>
        <v>U0398</v>
      </c>
      <c r="E123" t="str">
        <f>"ED20B006"</f>
        <v>ED20B006</v>
      </c>
    </row>
    <row r="124" spans="1:5" x14ac:dyDescent="0.25">
      <c r="A124" t="str">
        <f>"349477"</f>
        <v>349477</v>
      </c>
      <c r="B124" t="str">
        <f>"81983777783"</f>
        <v>81983777783</v>
      </c>
      <c r="C124" t="str">
        <f>"EVERYDAY COUNTER-BIRTHDAY PKG/6-U0399"</f>
        <v>EVERYDAY COUNTER-BIRTHDAY PKG/6-U0399</v>
      </c>
      <c r="D124" t="str">
        <f>"U0399"</f>
        <v>U0399</v>
      </c>
      <c r="E124" t="str">
        <f>"ED20B007"</f>
        <v>ED20B007</v>
      </c>
    </row>
    <row r="125" spans="1:5" x14ac:dyDescent="0.25">
      <c r="A125" t="str">
        <f>"308399"</f>
        <v>308399</v>
      </c>
      <c r="B125" t="str">
        <f>"81983773235"</f>
        <v>81983773235</v>
      </c>
      <c r="C125" t="str">
        <f>"EVERYDAY COUNTER-BIRTHDAY SPECIAL FRIEND FEM PKG/6-J2731"</f>
        <v>EVERYDAY COUNTER-BIRTHDAY SPECIAL FRIEND FEM PKG/6-J2731</v>
      </c>
      <c r="D125" t="str">
        <f>"J2731"</f>
        <v>J2731</v>
      </c>
      <c r="E125" t="str">
        <f>"ED20B008"</f>
        <v>ED20B008</v>
      </c>
    </row>
    <row r="126" spans="1:5" x14ac:dyDescent="0.25">
      <c r="A126" t="str">
        <f>"279726"</f>
        <v>279726</v>
      </c>
      <c r="B126" t="str">
        <f>"81983764066"</f>
        <v>81983764066</v>
      </c>
      <c r="C126" t="str">
        <f>"EVERYDAY COUNTER-RELATIVE BD BROTHER PKG/6-J9017"</f>
        <v>EVERYDAY COUNTER-RELATIVE BD BROTHER PKG/6-J9017</v>
      </c>
      <c r="D126" t="str">
        <f>"J9017"</f>
        <v>J9017</v>
      </c>
      <c r="E126" t="str">
        <f>"ED20B009"</f>
        <v>ED20B009</v>
      </c>
    </row>
    <row r="127" spans="1:5" x14ac:dyDescent="0.25">
      <c r="A127" t="str">
        <f>"279683"</f>
        <v>279683</v>
      </c>
      <c r="B127" t="str">
        <f>"81983763755"</f>
        <v>81983763755</v>
      </c>
      <c r="C127" t="str">
        <f>"EVERYDAY COUNTER-BIRTHDAY CHILD 1ST GIRL PKG/6-J8986"</f>
        <v>EVERYDAY COUNTER-BIRTHDAY CHILD 1ST GIRL PKG/6-J8986</v>
      </c>
      <c r="D127" t="str">
        <f>"J8986"</f>
        <v>J8986</v>
      </c>
      <c r="E127" t="str">
        <f>"ED20B010"</f>
        <v>ED20B010</v>
      </c>
    </row>
    <row r="128" spans="1:5" x14ac:dyDescent="0.25">
      <c r="A128" t="str">
        <f>"349463"</f>
        <v>349463</v>
      </c>
      <c r="B128" t="str">
        <f>"81983777578"</f>
        <v>81983777578</v>
      </c>
      <c r="C128" t="str">
        <f>"EVERYDAY COUNTER-BIRTHDAY PKG/6-U0378"</f>
        <v>EVERYDAY COUNTER-BIRTHDAY PKG/6-U0378</v>
      </c>
      <c r="D128" t="str">
        <f>"U0378"</f>
        <v>U0378</v>
      </c>
      <c r="E128" t="str">
        <f>"ED20B011"</f>
        <v>ED20B011</v>
      </c>
    </row>
    <row r="129" spans="1:5" x14ac:dyDescent="0.25">
      <c r="A129" t="str">
        <f>"349543"</f>
        <v>349543</v>
      </c>
      <c r="B129" t="str">
        <f>"81983778414"</f>
        <v>81983778414</v>
      </c>
      <c r="C129" t="str">
        <f>"EVERYDAY COUNTER-BIRTHDAY PKG/2-U0472"</f>
        <v>EVERYDAY COUNTER-BIRTHDAY PKG/2-U0472</v>
      </c>
      <c r="D129" t="str">
        <f>"U0472"</f>
        <v>U0472</v>
      </c>
      <c r="E129" t="str">
        <f>"ED20B012"</f>
        <v>ED20B012</v>
      </c>
    </row>
    <row r="130" spans="1:5" x14ac:dyDescent="0.25">
      <c r="A130" t="str">
        <f>"349545"</f>
        <v>349545</v>
      </c>
      <c r="B130" t="str">
        <f>"81983778421"</f>
        <v>81983778421</v>
      </c>
      <c r="C130" t="str">
        <f>"EVERYDAY COUNTER-BIRTHDAY PKG/2-U0473"</f>
        <v>EVERYDAY COUNTER-BIRTHDAY PKG/2-U0473</v>
      </c>
      <c r="D130" t="str">
        <f>"U0473"</f>
        <v>U0473</v>
      </c>
      <c r="E130" t="str">
        <f>"ED20B013"</f>
        <v>ED20B013</v>
      </c>
    </row>
    <row r="131" spans="1:5" x14ac:dyDescent="0.25">
      <c r="A131" t="str">
        <f>"279701"</f>
        <v>279701</v>
      </c>
      <c r="B131" t="str">
        <f>"81983773020"</f>
        <v>81983773020</v>
      </c>
      <c r="C131" t="str">
        <f>"EVERYDAY COUNTER-BIRTHDAY-FEMININE PKG/6-J9000"</f>
        <v>EVERYDAY COUNTER-BIRTHDAY-FEMININE PKG/6-J9000</v>
      </c>
      <c r="D131" t="str">
        <f>"J9000"</f>
        <v>J9000</v>
      </c>
      <c r="E131" t="str">
        <f>"ED20B014"</f>
        <v>ED20B014</v>
      </c>
    </row>
    <row r="132" spans="1:5" x14ac:dyDescent="0.25">
      <c r="A132" t="str">
        <f>"308273"</f>
        <v>308273</v>
      </c>
      <c r="B132" t="str">
        <f>"81983682490"</f>
        <v>81983682490</v>
      </c>
      <c r="C132" t="str">
        <f>"EVERYDAY COUNTER-BIRTHDAY-FEMININE PKG/6-J0023"</f>
        <v>EVERYDAY COUNTER-BIRTHDAY-FEMININE PKG/6-J0023</v>
      </c>
      <c r="D132" t="str">
        <f>"J0023"</f>
        <v>J0023</v>
      </c>
      <c r="E132" t="str">
        <f>"ED20B015"</f>
        <v>ED20B015</v>
      </c>
    </row>
    <row r="133" spans="1:5" x14ac:dyDescent="0.25">
      <c r="A133" t="str">
        <f>"298766"</f>
        <v>298766</v>
      </c>
      <c r="B133" t="str">
        <f>"81983773273"</f>
        <v>81983773273</v>
      </c>
      <c r="C133" t="str">
        <f>"EVERYDAY COUNTER-BIRTHDAY-SPECIAL FRIEND-11794"</f>
        <v>EVERYDAY COUNTER-BIRTHDAY-SPECIAL FRIEND-11794</v>
      </c>
      <c r="D133" t="str">
        <f>"11794"</f>
        <v>11794</v>
      </c>
      <c r="E133" t="str">
        <f>"ED20B016"</f>
        <v>ED20B016</v>
      </c>
    </row>
    <row r="134" spans="1:5" x14ac:dyDescent="0.25">
      <c r="A134" t="str">
        <f>"349450"</f>
        <v>349450</v>
      </c>
      <c r="B134" t="str">
        <f>"81983777998"</f>
        <v>81983777998</v>
      </c>
      <c r="C134" t="str">
        <f>"EVERYDAY COUNTER-RELATIVE BIRTHDAY PKG/6-U0420"</f>
        <v>EVERYDAY COUNTER-RELATIVE BIRTHDAY PKG/6-U0420</v>
      </c>
      <c r="D134" t="str">
        <f>"U0420"</f>
        <v>U0420</v>
      </c>
      <c r="E134" t="str">
        <f>"ED20B017"</f>
        <v>ED20B017</v>
      </c>
    </row>
    <row r="135" spans="1:5" x14ac:dyDescent="0.25">
      <c r="A135" t="str">
        <f>"279457"</f>
        <v>279457</v>
      </c>
      <c r="B135" t="str">
        <f>"81983772979"</f>
        <v>81983772979</v>
      </c>
      <c r="C135" t="str">
        <f>"EVERYDAY COUNTER-BIRTHDAY 3RD GIRL PKG/6-J5496"</f>
        <v>EVERYDAY COUNTER-BIRTHDAY 3RD GIRL PKG/6-J5496</v>
      </c>
      <c r="D135" t="str">
        <f>"J5496"</f>
        <v>J5496</v>
      </c>
      <c r="E135" t="str">
        <f>"ED20B018"</f>
        <v>ED20B018</v>
      </c>
    </row>
    <row r="136" spans="1:5" x14ac:dyDescent="0.25">
      <c r="A136" t="str">
        <f>"279685"</f>
        <v>279685</v>
      </c>
      <c r="B136" t="str">
        <f>"81983763779"</f>
        <v>81983763779</v>
      </c>
      <c r="C136" t="str">
        <f>"EVERYDAY COUNTER-BIRTHDAY CHILD 4TH BOY PKG/6-J8988"</f>
        <v>EVERYDAY COUNTER-BIRTHDAY CHILD 4TH BOY PKG/6-J8988</v>
      </c>
      <c r="D136" t="str">
        <f>"J8988"</f>
        <v>J8988</v>
      </c>
      <c r="E136" t="str">
        <f>"ED20B019"</f>
        <v>ED20B019</v>
      </c>
    </row>
    <row r="137" spans="1:5" x14ac:dyDescent="0.25">
      <c r="A137" t="str">
        <f>"349525"</f>
        <v>349525</v>
      </c>
      <c r="B137" t="str">
        <f>"81983778438"</f>
        <v>81983778438</v>
      </c>
      <c r="C137" t="str">
        <f>"EVERYDAY COUNTER-BIRTHDAY PKG/6-U0474"</f>
        <v>EVERYDAY COUNTER-BIRTHDAY PKG/6-U0474</v>
      </c>
      <c r="D137" t="str">
        <f>"U0474"</f>
        <v>U0474</v>
      </c>
      <c r="E137" t="str">
        <f>"ED20B020"</f>
        <v>ED20B020</v>
      </c>
    </row>
    <row r="138" spans="1:5" x14ac:dyDescent="0.25">
      <c r="A138" t="str">
        <f>"349526"</f>
        <v>349526</v>
      </c>
      <c r="B138" t="str">
        <f>"81983778445"</f>
        <v>81983778445</v>
      </c>
      <c r="C138" t="str">
        <f>"EVERYDAY COUNTER-BIRTHDAY PKG/6-U0475"</f>
        <v>EVERYDAY COUNTER-BIRTHDAY PKG/6-U0475</v>
      </c>
      <c r="D138" t="str">
        <f>"U0475"</f>
        <v>U0475</v>
      </c>
      <c r="E138" t="str">
        <f>"ED20B021"</f>
        <v>ED20B021</v>
      </c>
    </row>
    <row r="139" spans="1:5" x14ac:dyDescent="0.25">
      <c r="A139" t="str">
        <f>"308274"</f>
        <v>308274</v>
      </c>
      <c r="B139" t="str">
        <f>"81983773082"</f>
        <v>81983773082</v>
      </c>
      <c r="C139" t="str">
        <f>"EVERYDAY COUNTER-BIRTHDAY-FEMININE PKG/6-J0024"</f>
        <v>EVERYDAY COUNTER-BIRTHDAY-FEMININE PKG/6-J0024</v>
      </c>
      <c r="D139" t="str">
        <f>"J0024"</f>
        <v>J0024</v>
      </c>
      <c r="E139" t="str">
        <f>"ED20B022"</f>
        <v>ED20B022</v>
      </c>
    </row>
    <row r="140" spans="1:5" x14ac:dyDescent="0.25">
      <c r="A140" t="str">
        <f>"308374"</f>
        <v>308374</v>
      </c>
      <c r="B140" t="str">
        <f>"81983773068"</f>
        <v>81983773068</v>
      </c>
      <c r="C140" t="str">
        <f>"EVERYDAY COUNTER-BD GENERAL FEMININE MED PKG/6-J2710"</f>
        <v>EVERYDAY COUNTER-BD GENERAL FEMININE MED PKG/6-J2710</v>
      </c>
      <c r="D140" t="str">
        <f>"J2710"</f>
        <v>J2710</v>
      </c>
      <c r="E140" t="str">
        <f>"ED20B023"</f>
        <v>ED20B023</v>
      </c>
    </row>
    <row r="141" spans="1:5" x14ac:dyDescent="0.25">
      <c r="A141" t="str">
        <f>"308177"</f>
        <v>308177</v>
      </c>
      <c r="B141" t="str">
        <f>"81983528941"</f>
        <v>81983528941</v>
      </c>
      <c r="C141" t="str">
        <f>"EVERYDAY COUNTER-BD SPECIAL FRIEND-84665"</f>
        <v>EVERYDAY COUNTER-BD SPECIAL FRIEND-84665</v>
      </c>
      <c r="D141" t="str">
        <f>"84665"</f>
        <v>84665</v>
      </c>
      <c r="E141" t="str">
        <f>"ED20B024"</f>
        <v>ED20B024</v>
      </c>
    </row>
    <row r="142" spans="1:5" x14ac:dyDescent="0.25">
      <c r="A142" t="str">
        <f>"349452"</f>
        <v>349452</v>
      </c>
      <c r="B142" t="str">
        <f>"81983777981"</f>
        <v>81983777981</v>
      </c>
      <c r="C142" t="str">
        <f>"EVERYDAY COUNTER-RELATIVE BIRTHDAY PKG/6-U0419"</f>
        <v>EVERYDAY COUNTER-RELATIVE BIRTHDAY PKG/6-U0419</v>
      </c>
      <c r="D142" t="str">
        <f>"U0419"</f>
        <v>U0419</v>
      </c>
      <c r="E142" t="str">
        <f>"ED20B025"</f>
        <v>ED20B025</v>
      </c>
    </row>
    <row r="143" spans="1:5" x14ac:dyDescent="0.25">
      <c r="A143" t="str">
        <f>"349465"</f>
        <v>349465</v>
      </c>
      <c r="B143" t="str">
        <f>"81983777721"</f>
        <v>81983777721</v>
      </c>
      <c r="C143" t="str">
        <f>"EVERYDAY COUNTER-BIRTHDAY PKG/6-U0393"</f>
        <v>EVERYDAY COUNTER-BIRTHDAY PKG/6-U0393</v>
      </c>
      <c r="D143" t="str">
        <f>"U0393"</f>
        <v>U0393</v>
      </c>
      <c r="E143" t="str">
        <f>"ED20B026"</f>
        <v>ED20B026</v>
      </c>
    </row>
    <row r="144" spans="1:5" x14ac:dyDescent="0.25">
      <c r="A144" t="str">
        <f>"279684"</f>
        <v>279684</v>
      </c>
      <c r="B144" t="str">
        <f>"81983763762"</f>
        <v>81983763762</v>
      </c>
      <c r="C144" t="str">
        <f>"EVERYDAY COUNTER-BIRTHDAY CHILD 4TH GIRL PKG/6-J8987"</f>
        <v>EVERYDAY COUNTER-BIRTHDAY CHILD 4TH GIRL PKG/6-J8987</v>
      </c>
      <c r="D144" t="str">
        <f>"J8987"</f>
        <v>J8987</v>
      </c>
      <c r="E144" t="str">
        <f>"ED20B027"</f>
        <v>ED20B027</v>
      </c>
    </row>
    <row r="145" spans="1:5" x14ac:dyDescent="0.25">
      <c r="A145" t="str">
        <f>"349527"</f>
        <v>349527</v>
      </c>
      <c r="B145" t="str">
        <f>"81983778452"</f>
        <v>81983778452</v>
      </c>
      <c r="C145" t="str">
        <f>"EVERYDAY COUNTER-BIRTHDAY PKG/6-U0476"</f>
        <v>EVERYDAY COUNTER-BIRTHDAY PKG/6-U0476</v>
      </c>
      <c r="D145" t="str">
        <f>"U0476"</f>
        <v>U0476</v>
      </c>
      <c r="E145" t="str">
        <f>"ED20B028"</f>
        <v>ED20B028</v>
      </c>
    </row>
    <row r="146" spans="1:5" x14ac:dyDescent="0.25">
      <c r="A146" t="str">
        <f>"349528"</f>
        <v>349528</v>
      </c>
      <c r="B146" t="str">
        <f>"81983778469"</f>
        <v>81983778469</v>
      </c>
      <c r="C146" t="str">
        <f>"EVERYDAY COUNTER-BIRTHDAY PKG/6-U0477"</f>
        <v>EVERYDAY COUNTER-BIRTHDAY PKG/6-U0477</v>
      </c>
      <c r="D146" t="str">
        <f>"U0477"</f>
        <v>U0477</v>
      </c>
      <c r="E146" t="str">
        <f>"ED20B029"</f>
        <v>ED20B029</v>
      </c>
    </row>
    <row r="147" spans="1:5" x14ac:dyDescent="0.25">
      <c r="A147" t="str">
        <f>"298740"</f>
        <v>298740</v>
      </c>
      <c r="B147" t="str">
        <f>"81983773112"</f>
        <v>81983773112</v>
      </c>
      <c r="C147" t="str">
        <f>"EVERYDAY COUNTER-BIRTHDAY-FEM-11719"</f>
        <v>EVERYDAY COUNTER-BIRTHDAY-FEM-11719</v>
      </c>
      <c r="D147" t="str">
        <f>"11719"</f>
        <v>11719</v>
      </c>
      <c r="E147" t="str">
        <f>"ED20B030"</f>
        <v>ED20B030</v>
      </c>
    </row>
    <row r="148" spans="1:5" x14ac:dyDescent="0.25">
      <c r="A148" t="str">
        <f>"308172"</f>
        <v>308172</v>
      </c>
      <c r="B148" t="str">
        <f>"81983773051"</f>
        <v>81983773051</v>
      </c>
      <c r="C148" t="str">
        <f>"EVERYDAY COUNTER-BD GENERAL FEMININE-84592"</f>
        <v>EVERYDAY COUNTER-BD GENERAL FEMININE-84592</v>
      </c>
      <c r="D148" t="str">
        <f>"84592"</f>
        <v>84592</v>
      </c>
      <c r="E148" t="str">
        <f>"ED20B031"</f>
        <v>ED20B031</v>
      </c>
    </row>
    <row r="149" spans="1:5" x14ac:dyDescent="0.25">
      <c r="A149" t="str">
        <f>"308176"</f>
        <v>308176</v>
      </c>
      <c r="B149" t="str">
        <f>"81983678707"</f>
        <v>81983678707</v>
      </c>
      <c r="C149" t="str">
        <f>"EVERYDAY COUNTER-SPECIAL FRIEND FEMINE-84664"</f>
        <v>EVERYDAY COUNTER-SPECIAL FRIEND FEMINE-84664</v>
      </c>
      <c r="D149" t="str">
        <f>"84664"</f>
        <v>84664</v>
      </c>
      <c r="E149" t="str">
        <f>"ED20B032"</f>
        <v>ED20B032</v>
      </c>
    </row>
    <row r="150" spans="1:5" x14ac:dyDescent="0.25">
      <c r="A150" t="str">
        <f>"279727"</f>
        <v>279727</v>
      </c>
      <c r="B150" t="str">
        <f>"81983764073"</f>
        <v>81983764073</v>
      </c>
      <c r="C150" t="str">
        <f>"EVERYDAY COUNTER-RELATIVE BD BROTHER PKG/6-J9018"</f>
        <v>EVERYDAY COUNTER-RELATIVE BD BROTHER PKG/6-J9018</v>
      </c>
      <c r="D150" t="str">
        <f>"J9018"</f>
        <v>J9018</v>
      </c>
      <c r="E150" t="str">
        <f>"ED20B033"</f>
        <v>ED20B033</v>
      </c>
    </row>
    <row r="151" spans="1:5" x14ac:dyDescent="0.25">
      <c r="A151" t="str">
        <f>"279458"</f>
        <v>279458</v>
      </c>
      <c r="B151" t="str">
        <f>"81983772986"</f>
        <v>81983772986</v>
      </c>
      <c r="C151" t="str">
        <f>"EVERYDAY COUNTER-BIRTHDAY 5TH CHILD PKG/6-J5497"</f>
        <v>EVERYDAY COUNTER-BIRTHDAY 5TH CHILD PKG/6-J5497</v>
      </c>
      <c r="D151" t="str">
        <f>"J5497"</f>
        <v>J5497</v>
      </c>
      <c r="E151" t="str">
        <f>"ED20B034"</f>
        <v>ED20B034</v>
      </c>
    </row>
    <row r="152" spans="1:5" x14ac:dyDescent="0.25">
      <c r="A152" t="str">
        <f>"279686"</f>
        <v>279686</v>
      </c>
      <c r="B152" t="str">
        <f>"81983763786"</f>
        <v>81983763786</v>
      </c>
      <c r="C152" t="str">
        <f>"EVERYDAY COUNTER-BIRTHDAY CHILD 5TH GIRL PKG/6-J8989"</f>
        <v>EVERYDAY COUNTER-BIRTHDAY CHILD 5TH GIRL PKG/6-J8989</v>
      </c>
      <c r="D152" t="str">
        <f>"J8989"</f>
        <v>J8989</v>
      </c>
      <c r="E152" t="str">
        <f>"ED20B035"</f>
        <v>ED20B035</v>
      </c>
    </row>
    <row r="153" spans="1:5" x14ac:dyDescent="0.25">
      <c r="A153" t="str">
        <f>"279460"</f>
        <v>279460</v>
      </c>
      <c r="B153" t="str">
        <f>"81983738319"</f>
        <v>81983738319</v>
      </c>
      <c r="C153" t="str">
        <f>"EVERYDAY COUNTER-BIRTHDAY CHILD PKG/6-J5498"</f>
        <v>EVERYDAY COUNTER-BIRTHDAY CHILD PKG/6-J5498</v>
      </c>
      <c r="D153" t="str">
        <f>"J5498"</f>
        <v>J5498</v>
      </c>
      <c r="E153" t="str">
        <f>"ED20B036"</f>
        <v>ED20B036</v>
      </c>
    </row>
    <row r="154" spans="1:5" x14ac:dyDescent="0.25">
      <c r="A154" t="str">
        <f>"349466"</f>
        <v>349466</v>
      </c>
      <c r="B154" t="str">
        <f>"81983777738"</f>
        <v>81983777738</v>
      </c>
      <c r="C154" t="str">
        <f>"EVERYDAY COUNTER-BIRTHDAY PKG/6-U0394"</f>
        <v>EVERYDAY COUNTER-BIRTHDAY PKG/6-U0394</v>
      </c>
      <c r="D154" t="str">
        <f>"U0394"</f>
        <v>U0394</v>
      </c>
      <c r="E154" t="str">
        <f>"ED20B037"</f>
        <v>ED20B037</v>
      </c>
    </row>
    <row r="155" spans="1:5" x14ac:dyDescent="0.25">
      <c r="A155" t="str">
        <f>"279703"</f>
        <v>279703</v>
      </c>
      <c r="B155" t="str">
        <f>"81983763915"</f>
        <v>81983763915</v>
      </c>
      <c r="C155" t="str">
        <f>"EVERYDAY COUNTER-BIRTHDAY-FEMININE PKG/6-J9002"</f>
        <v>EVERYDAY COUNTER-BIRTHDAY-FEMININE PKG/6-J9002</v>
      </c>
      <c r="D155" t="str">
        <f>"J9002"</f>
        <v>J9002</v>
      </c>
      <c r="E155" t="str">
        <f>"ED20B038"</f>
        <v>ED20B038</v>
      </c>
    </row>
    <row r="156" spans="1:5" x14ac:dyDescent="0.25">
      <c r="A156" t="str">
        <f>"349479"</f>
        <v>349479</v>
      </c>
      <c r="B156" t="str">
        <f>"81983777790"</f>
        <v>81983777790</v>
      </c>
      <c r="C156" t="str">
        <f>"EVERYDAY COUNTER-BIRTHDAY PKG/6-U0400"</f>
        <v>EVERYDAY COUNTER-BIRTHDAY PKG/6-U0400</v>
      </c>
      <c r="D156" t="str">
        <f>"U0400"</f>
        <v>U0400</v>
      </c>
      <c r="E156" t="str">
        <f>"ED20B039"</f>
        <v>ED20B039</v>
      </c>
    </row>
    <row r="157" spans="1:5" x14ac:dyDescent="0.25">
      <c r="A157" t="str">
        <f>"349522"</f>
        <v>349522</v>
      </c>
      <c r="B157" t="str">
        <f>"81983777936"</f>
        <v>81983777936</v>
      </c>
      <c r="C157" t="str">
        <f>"EVERYDAY COUNTER-BIRTHDAY PKG/6-U0414"</f>
        <v>EVERYDAY COUNTER-BIRTHDAY PKG/6-U0414</v>
      </c>
      <c r="D157" t="str">
        <f>"U0414"</f>
        <v>U0414</v>
      </c>
      <c r="E157" t="str">
        <f>"ED20B040"</f>
        <v>ED20B040</v>
      </c>
    </row>
    <row r="158" spans="1:5" x14ac:dyDescent="0.25">
      <c r="A158" t="str">
        <f>"349451"</f>
        <v>349451</v>
      </c>
      <c r="B158" t="str">
        <f>"81983778001"</f>
        <v>81983778001</v>
      </c>
      <c r="C158" t="str">
        <f>"EVERYDAY COUNTER-RELATIVE BIRTHDAY PKG/6-U0421"</f>
        <v>EVERYDAY COUNTER-RELATIVE BIRTHDAY PKG/6-U0421</v>
      </c>
      <c r="D158" t="str">
        <f>"U0421"</f>
        <v>U0421</v>
      </c>
      <c r="E158" t="str">
        <f>"ED20B041"</f>
        <v>ED20B041</v>
      </c>
    </row>
    <row r="159" spans="1:5" x14ac:dyDescent="0.25">
      <c r="A159" t="str">
        <f>"308200"</f>
        <v>308200</v>
      </c>
      <c r="B159" t="str">
        <f>"81983677151"</f>
        <v>81983677151</v>
      </c>
      <c r="C159" t="str">
        <f>"EVERYDAY COUNTER-BDAY 30TH PKG/6-91975"</f>
        <v>EVERYDAY COUNTER-BDAY 30TH PKG/6-91975</v>
      </c>
      <c r="D159" t="str">
        <f>"91975"</f>
        <v>91975</v>
      </c>
      <c r="E159" t="str">
        <f>"ED20B042"</f>
        <v>ED20B042</v>
      </c>
    </row>
    <row r="160" spans="1:5" x14ac:dyDescent="0.25">
      <c r="A160" t="str">
        <f>"279676"</f>
        <v>279676</v>
      </c>
      <c r="B160" t="str">
        <f>"81983763700"</f>
        <v>81983763700</v>
      </c>
      <c r="C160" t="str">
        <f>"EVERYDAY COUNTER-BIRTHDAY 50TH PKG/6-J8981"</f>
        <v>EVERYDAY COUNTER-BIRTHDAY 50TH PKG/6-J8981</v>
      </c>
      <c r="D160" t="str">
        <f>"J8981"</f>
        <v>J8981</v>
      </c>
      <c r="E160" t="str">
        <f>"ED20B043"</f>
        <v>ED20B043</v>
      </c>
    </row>
    <row r="161" spans="1:5" x14ac:dyDescent="0.25">
      <c r="A161" t="str">
        <f>"279456"</f>
        <v>279456</v>
      </c>
      <c r="B161" t="str">
        <f>"81983738289"</f>
        <v>81983738289</v>
      </c>
      <c r="C161" t="str">
        <f>"EVERYDAY COUNTER-BIRTHDAY 16YR FOR ANYONE PKG/6-J5495"</f>
        <v>EVERYDAY COUNTER-BIRTHDAY 16YR FOR ANYONE PKG/6-J5495</v>
      </c>
      <c r="D161" t="str">
        <f>"J5495"</f>
        <v>J5495</v>
      </c>
      <c r="E161" t="str">
        <f>"ED20B044"</f>
        <v>ED20B044</v>
      </c>
    </row>
    <row r="162" spans="1:5" x14ac:dyDescent="0.25">
      <c r="A162" t="str">
        <f>"349468"</f>
        <v>349468</v>
      </c>
      <c r="B162" t="str">
        <f>"81983777745"</f>
        <v>81983777745</v>
      </c>
      <c r="C162" t="str">
        <f>"EVERYDAY COUNTER-BIRTHDAY PKG/6-U0395"</f>
        <v>EVERYDAY COUNTER-BIRTHDAY PKG/6-U0395</v>
      </c>
      <c r="D162" t="str">
        <f>"U0395"</f>
        <v>U0395</v>
      </c>
      <c r="E162" t="str">
        <f>"ED20B045"</f>
        <v>ED20B045</v>
      </c>
    </row>
    <row r="163" spans="1:5" x14ac:dyDescent="0.25">
      <c r="A163" t="str">
        <f>"308379"</f>
        <v>308379</v>
      </c>
      <c r="B163" t="str">
        <f>"81983714887"</f>
        <v>81983714887</v>
      </c>
      <c r="C163" t="str">
        <f>"EVERYDAY COUNTER-BD GENERAL FEMININE PKG/6-J2714"</f>
        <v>EVERYDAY COUNTER-BD GENERAL FEMININE PKG/6-J2714</v>
      </c>
      <c r="D163" t="str">
        <f>"J2714"</f>
        <v>J2714</v>
      </c>
      <c r="E163" t="str">
        <f>"ED20B046"</f>
        <v>ED20B046</v>
      </c>
    </row>
    <row r="164" spans="1:5" x14ac:dyDescent="0.25">
      <c r="A164" t="str">
        <f>"349478"</f>
        <v>349478</v>
      </c>
      <c r="B164" t="str">
        <f>"81983777806"</f>
        <v>81983777806</v>
      </c>
      <c r="C164" t="str">
        <f>"EVERYDAY COUNTER-BIRTHDAY PKG/6-U0401"</f>
        <v>EVERYDAY COUNTER-BIRTHDAY PKG/6-U0401</v>
      </c>
      <c r="D164" t="str">
        <f>"U0401"</f>
        <v>U0401</v>
      </c>
      <c r="E164" t="str">
        <f>"ED20B047"</f>
        <v>ED20B047</v>
      </c>
    </row>
    <row r="165" spans="1:5" x14ac:dyDescent="0.25">
      <c r="A165" t="str">
        <f>"308175"</f>
        <v>308175</v>
      </c>
      <c r="B165" t="str">
        <f>"81983678691"</f>
        <v>81983678691</v>
      </c>
      <c r="C165" t="str">
        <f>"EVERYDAY COUNTER-BD SPECIAL FRIEND-84661"</f>
        <v>EVERYDAY COUNTER-BD SPECIAL FRIEND-84661</v>
      </c>
      <c r="D165" t="str">
        <f>"84661"</f>
        <v>84661</v>
      </c>
      <c r="E165" t="str">
        <f>"ED20B048"</f>
        <v>ED20B048</v>
      </c>
    </row>
    <row r="166" spans="1:5" x14ac:dyDescent="0.25">
      <c r="A166" t="str">
        <f>"279493"</f>
        <v>279493</v>
      </c>
      <c r="B166" t="str">
        <f>"81983738562"</f>
        <v>81983738562</v>
      </c>
      <c r="C166" t="str">
        <f>"EVERYDAY COUNTER-REL BD GRANDFATHER PKG/6-J5523"</f>
        <v>EVERYDAY COUNTER-REL BD GRANDFATHER PKG/6-J5523</v>
      </c>
      <c r="D166" t="str">
        <f>"J5523"</f>
        <v>J5523</v>
      </c>
      <c r="E166" t="str">
        <f>"ED20B049"</f>
        <v>ED20B049</v>
      </c>
    </row>
    <row r="167" spans="1:5" x14ac:dyDescent="0.25">
      <c r="A167" t="str">
        <f>"279675"</f>
        <v>279675</v>
      </c>
      <c r="B167" t="str">
        <f>"81983763694"</f>
        <v>81983763694</v>
      </c>
      <c r="C167" t="str">
        <f>"EVERYDAY COUNTER-BIRTHDAY 40TH PKG/6-J8980"</f>
        <v>EVERYDAY COUNTER-BIRTHDAY 40TH PKG/6-J8980</v>
      </c>
      <c r="D167" t="str">
        <f>"J8980"</f>
        <v>J8980</v>
      </c>
      <c r="E167" t="str">
        <f>"ED20B050"</f>
        <v>ED20B050</v>
      </c>
    </row>
    <row r="168" spans="1:5" x14ac:dyDescent="0.25">
      <c r="A168" t="str">
        <f>"308362"</f>
        <v>308362</v>
      </c>
      <c r="B168" t="str">
        <f>"81983714726"</f>
        <v>81983714726</v>
      </c>
      <c r="C168" t="str">
        <f>"EVERYDAY COUNTER-BD 50 FOR ANYONE PKG/6-J2698"</f>
        <v>EVERYDAY COUNTER-BD 50 FOR ANYONE PKG/6-J2698</v>
      </c>
      <c r="D168" t="str">
        <f>"J2698"</f>
        <v>J2698</v>
      </c>
      <c r="E168" t="str">
        <f>"ED20B051"</f>
        <v>ED20B051</v>
      </c>
    </row>
    <row r="169" spans="1:5" x14ac:dyDescent="0.25">
      <c r="A169" t="str">
        <f>"308161"</f>
        <v>308161</v>
      </c>
      <c r="B169" t="str">
        <f>"81983603143"</f>
        <v>81983603143</v>
      </c>
      <c r="C169" t="str">
        <f>"EVERYDAY COUNTER-MULTI-YEAR (Pk/6)-83997"</f>
        <v>EVERYDAY COUNTER-MULTI-YEAR (Pk/6)-83997</v>
      </c>
      <c r="D169" t="str">
        <f>"83997"</f>
        <v>83997</v>
      </c>
      <c r="E169" t="str">
        <f>"ED20B052"</f>
        <v>ED20B052</v>
      </c>
    </row>
    <row r="170" spans="1:5" x14ac:dyDescent="0.25">
      <c r="A170" t="str">
        <f>"279478"</f>
        <v>279478</v>
      </c>
      <c r="B170" t="str">
        <f>"81983738456"</f>
        <v>81983738456</v>
      </c>
      <c r="C170" t="str">
        <f>"EVERYDAY COUNTER-BIRTHDAY TEEN FEM PKG/6-J5512"</f>
        <v>EVERYDAY COUNTER-BIRTHDAY TEEN FEM PKG/6-J5512</v>
      </c>
      <c r="D170" t="str">
        <f>"J5512"</f>
        <v>J5512</v>
      </c>
      <c r="E170" t="str">
        <f>"ED20B053"</f>
        <v>ED20B053</v>
      </c>
    </row>
    <row r="171" spans="1:5" x14ac:dyDescent="0.25">
      <c r="A171" t="str">
        <f>"349480"</f>
        <v>349480</v>
      </c>
      <c r="B171" t="str">
        <f>"81983777813"</f>
        <v>81983777813</v>
      </c>
      <c r="C171" t="str">
        <f>"EVERYDAY COUNTER-BIRTHDAY PKG/6-U0402"</f>
        <v>EVERYDAY COUNTER-BIRTHDAY PKG/6-U0402</v>
      </c>
      <c r="D171" t="str">
        <f>"U0402"</f>
        <v>U0402</v>
      </c>
      <c r="E171" t="str">
        <f>"ED20B054"</f>
        <v>ED20B054</v>
      </c>
    </row>
    <row r="172" spans="1:5" x14ac:dyDescent="0.25">
      <c r="A172" t="str">
        <f>"349521"</f>
        <v>349521</v>
      </c>
      <c r="B172" t="str">
        <f>"81983777950"</f>
        <v>81983777950</v>
      </c>
      <c r="C172" t="str">
        <f>"EVERYDAY COUNTER-BIRTHDAY PKG/6-U0416"</f>
        <v>EVERYDAY COUNTER-BIRTHDAY PKG/6-U0416</v>
      </c>
      <c r="D172" t="str">
        <f>"U0416"</f>
        <v>U0416</v>
      </c>
      <c r="E172" t="str">
        <f>"ED20B055"</f>
        <v>ED20B055</v>
      </c>
    </row>
    <row r="173" spans="1:5" x14ac:dyDescent="0.25">
      <c r="A173" t="str">
        <f>"349497"</f>
        <v>349497</v>
      </c>
      <c r="B173" t="str">
        <f>"81983777592"</f>
        <v>81983777592</v>
      </c>
      <c r="C173" t="str">
        <f>"EVERYDAY COUNTER-BIRTHDAY PKG/6-U0380"</f>
        <v>EVERYDAY COUNTER-BIRTHDAY PKG/6-U0380</v>
      </c>
      <c r="D173" t="str">
        <f>"U0380"</f>
        <v>U0380</v>
      </c>
      <c r="E173" t="str">
        <f>"ED20B056"</f>
        <v>ED20B056</v>
      </c>
    </row>
    <row r="174" spans="1:5" x14ac:dyDescent="0.25">
      <c r="A174" t="str">
        <f>"279495"</f>
        <v>279495</v>
      </c>
      <c r="B174" t="str">
        <f>"81983773662"</f>
        <v>81983773662</v>
      </c>
      <c r="C174" t="str">
        <f>"EVERYDAY COUNTER-REL BD GRANDPA PKG/6-J5525"</f>
        <v>EVERYDAY COUNTER-REL BD GRANDPA PKG/6-J5525</v>
      </c>
      <c r="D174" t="str">
        <f>"J5525"</f>
        <v>J5525</v>
      </c>
      <c r="E174" t="str">
        <f>"ED20B057"</f>
        <v>ED20B057</v>
      </c>
    </row>
    <row r="175" spans="1:5" x14ac:dyDescent="0.25">
      <c r="A175" t="str">
        <f>"279678"</f>
        <v>279678</v>
      </c>
      <c r="B175" t="str">
        <f>"81983763717"</f>
        <v>81983763717</v>
      </c>
      <c r="C175" t="str">
        <f>"EVERYDAY COUNTER-BIRTHDAY 60TH PKG/6-J8982"</f>
        <v>EVERYDAY COUNTER-BIRTHDAY 60TH PKG/6-J8982</v>
      </c>
      <c r="D175" t="str">
        <f>"J8982"</f>
        <v>J8982</v>
      </c>
      <c r="E175" t="str">
        <f>"ED20B058"</f>
        <v>ED20B058</v>
      </c>
    </row>
    <row r="176" spans="1:5" x14ac:dyDescent="0.25">
      <c r="A176" t="str">
        <f>"349459"</f>
        <v>349459</v>
      </c>
      <c r="B176" t="str">
        <f>"81983777707"</f>
        <v>81983777707</v>
      </c>
      <c r="C176" t="str">
        <f>"EVERYDAY COUNTER-BIRTHDAY PKG/6-U0391"</f>
        <v>EVERYDAY COUNTER-BIRTHDAY PKG/6-U0391</v>
      </c>
      <c r="D176" t="str">
        <f>"U0391"</f>
        <v>U0391</v>
      </c>
      <c r="E176" t="str">
        <f>"ED20B059"</f>
        <v>ED20B059</v>
      </c>
    </row>
    <row r="177" spans="1:5" x14ac:dyDescent="0.25">
      <c r="A177" t="str">
        <f>"308368"</f>
        <v>308368</v>
      </c>
      <c r="B177" t="str">
        <f>"81983714788"</f>
        <v>81983714788</v>
      </c>
      <c r="C177" t="str">
        <f>"EVERYDAY COUNTER-BIRTHDAY MULTI-YEAR PKG/6-J2704"</f>
        <v>EVERYDAY COUNTER-BIRTHDAY MULTI-YEAR PKG/6-J2704</v>
      </c>
      <c r="D177" t="str">
        <f>"J2704"</f>
        <v>J2704</v>
      </c>
      <c r="E177" t="str">
        <f>"ED20B060"</f>
        <v>ED20B060</v>
      </c>
    </row>
    <row r="178" spans="1:5" x14ac:dyDescent="0.25">
      <c r="A178" t="str">
        <f>"279479"</f>
        <v>279479</v>
      </c>
      <c r="B178" t="str">
        <f>"81983738463"</f>
        <v>81983738463</v>
      </c>
      <c r="C178" t="str">
        <f>"EVERYDAY COUNTER-BIRTHDAY TEEN MASC PKG/6-J5513"</f>
        <v>EVERYDAY COUNTER-BIRTHDAY TEEN MASC PKG/6-J5513</v>
      </c>
      <c r="D178" t="str">
        <f>"J5513"</f>
        <v>J5513</v>
      </c>
      <c r="E178" t="str">
        <f>"ED20B061"</f>
        <v>ED20B061</v>
      </c>
    </row>
    <row r="179" spans="1:5" x14ac:dyDescent="0.25">
      <c r="A179" t="str">
        <f>"349474"</f>
        <v>349474</v>
      </c>
      <c r="B179" t="str">
        <f>"81983777820"</f>
        <v>81983777820</v>
      </c>
      <c r="C179" t="str">
        <f>"EVERYDAY COUNTER-BIRTHDAY PKG/6-U0403"</f>
        <v>EVERYDAY COUNTER-BIRTHDAY PKG/6-U0403</v>
      </c>
      <c r="D179" t="str">
        <f>"U0403"</f>
        <v>U0403</v>
      </c>
      <c r="E179" t="str">
        <f>"ED20B062"</f>
        <v>ED20B062</v>
      </c>
    </row>
    <row r="180" spans="1:5" x14ac:dyDescent="0.25">
      <c r="A180" t="str">
        <f>"349523"</f>
        <v>349523</v>
      </c>
      <c r="B180" t="str">
        <f>"81983777943"</f>
        <v>81983777943</v>
      </c>
      <c r="C180" t="str">
        <f>"EVERYDAY COUNTER-BIRTHDAY PKG/6-U0415"</f>
        <v>EVERYDAY COUNTER-BIRTHDAY PKG/6-U0415</v>
      </c>
      <c r="D180" t="str">
        <f>"U0415"</f>
        <v>U0415</v>
      </c>
      <c r="E180" t="str">
        <f>"ED20B063"</f>
        <v>ED20B063</v>
      </c>
    </row>
    <row r="181" spans="1:5" x14ac:dyDescent="0.25">
      <c r="A181" t="str">
        <f>"349494"</f>
        <v>349494</v>
      </c>
      <c r="B181" t="str">
        <f>"81983777608"</f>
        <v>81983777608</v>
      </c>
      <c r="C181" t="str">
        <f>"EVERYDAY COUNTER-BIRTHDAY PKG/6-U0381"</f>
        <v>EVERYDAY COUNTER-BIRTHDAY PKG/6-U0381</v>
      </c>
      <c r="D181" t="str">
        <f>"U0381"</f>
        <v>U0381</v>
      </c>
      <c r="E181" t="str">
        <f>"ED20B064"</f>
        <v>ED20B064</v>
      </c>
    </row>
    <row r="182" spans="1:5" x14ac:dyDescent="0.25">
      <c r="A182" t="str">
        <f>"279494"</f>
        <v>279494</v>
      </c>
      <c r="B182" t="str">
        <f>"81983738579"</f>
        <v>81983738579</v>
      </c>
      <c r="C182" t="str">
        <f>"EVERYDAY COUNTER-REL BD GRANDPA PKG/6-J5524"</f>
        <v>EVERYDAY COUNTER-REL BD GRANDPA PKG/6-J5524</v>
      </c>
      <c r="D182" t="str">
        <f>"J5524"</f>
        <v>J5524</v>
      </c>
      <c r="E182" t="str">
        <f>"ED20B065"</f>
        <v>ED20B065</v>
      </c>
    </row>
    <row r="183" spans="1:5" x14ac:dyDescent="0.25">
      <c r="A183" t="str">
        <f>"308365"</f>
        <v>308365</v>
      </c>
      <c r="B183" t="str">
        <f>"81983714757"</f>
        <v>81983714757</v>
      </c>
      <c r="C183" t="str">
        <f>"EVERYDAY COUNTER-BD 60 FOR ANYONE PKG/6-J2701"</f>
        <v>EVERYDAY COUNTER-BD 60 FOR ANYONE PKG/6-J2701</v>
      </c>
      <c r="D183" t="str">
        <f>"J2701"</f>
        <v>J2701</v>
      </c>
      <c r="E183" t="str">
        <f>"ED20B066"</f>
        <v>ED20B066</v>
      </c>
    </row>
    <row r="184" spans="1:5" x14ac:dyDescent="0.25">
      <c r="A184" t="str">
        <f>"308367"</f>
        <v>308367</v>
      </c>
      <c r="B184" t="str">
        <f>"81983714771"</f>
        <v>81983714771</v>
      </c>
      <c r="C184" t="str">
        <f>"EVERYDAY COUNTER-BD 70 FOR ANYONE PKG/6-J2703"</f>
        <v>EVERYDAY COUNTER-BD 70 FOR ANYONE PKG/6-J2703</v>
      </c>
      <c r="D184" t="str">
        <f>"J2703"</f>
        <v>J2703</v>
      </c>
      <c r="E184" t="str">
        <f>"ED20B067"</f>
        <v>ED20B067</v>
      </c>
    </row>
    <row r="185" spans="1:5" x14ac:dyDescent="0.25">
      <c r="A185" t="str">
        <f>"349486"</f>
        <v>349486</v>
      </c>
      <c r="B185" t="str">
        <f>"81983777851"</f>
        <v>81983777851</v>
      </c>
      <c r="C185" t="str">
        <f>"EVERYDAY COUNTER-BIRTHDAY PKG/6-U0406"</f>
        <v>EVERYDAY COUNTER-BIRTHDAY PKG/6-U0406</v>
      </c>
      <c r="D185" t="str">
        <f>"U0406"</f>
        <v>U0406</v>
      </c>
      <c r="E185" t="str">
        <f>"ED20B068"</f>
        <v>ED20B068</v>
      </c>
    </row>
    <row r="186" spans="1:5" x14ac:dyDescent="0.25">
      <c r="A186" t="str">
        <f>"308396"</f>
        <v>308396</v>
      </c>
      <c r="B186" t="str">
        <f>"81983715020"</f>
        <v>81983715020</v>
      </c>
      <c r="C186" t="str">
        <f>"EVERYDAY COUNTER-BD -MASCULINE PKG/6-J2728"</f>
        <v>EVERYDAY COUNTER-BD -MASCULINE PKG/6-J2728</v>
      </c>
      <c r="D186" t="str">
        <f>"J2728"</f>
        <v>J2728</v>
      </c>
      <c r="E186" t="str">
        <f>"ED20B069"</f>
        <v>ED20B069</v>
      </c>
    </row>
    <row r="187" spans="1:5" x14ac:dyDescent="0.25">
      <c r="A187" t="str">
        <f>"298749"</f>
        <v>298749</v>
      </c>
      <c r="B187" t="str">
        <f>"81983593499"</f>
        <v>81983593499</v>
      </c>
      <c r="C187" t="str">
        <f>"EVERYDAY COUNTER-BIRTHDAY-MASCULINE-11746"</f>
        <v>EVERYDAY COUNTER-BIRTHDAY-MASCULINE-11746</v>
      </c>
      <c r="D187" t="str">
        <f>"11746"</f>
        <v>11746</v>
      </c>
      <c r="E187" t="str">
        <f>"ED20B070"</f>
        <v>ED20B070</v>
      </c>
    </row>
    <row r="188" spans="1:5" x14ac:dyDescent="0.25">
      <c r="A188" t="str">
        <f>"308188"</f>
        <v>308188</v>
      </c>
      <c r="B188" t="str">
        <f>"81983536014"</f>
        <v>81983536014</v>
      </c>
      <c r="C188" t="str">
        <f>"EVERYDAY COUNTER-SPECIAL FRIEND FEMINE-86905"</f>
        <v>EVERYDAY COUNTER-SPECIAL FRIEND FEMINE-86905</v>
      </c>
      <c r="D188" t="str">
        <f>"86905"</f>
        <v>86905</v>
      </c>
      <c r="E188" t="str">
        <f>"ED20B071"</f>
        <v>ED20B071</v>
      </c>
    </row>
    <row r="189" spans="1:5" x14ac:dyDescent="0.25">
      <c r="A189" t="str">
        <f>"349501"</f>
        <v>349501</v>
      </c>
      <c r="B189" t="str">
        <f>"81983777615"</f>
        <v>81983777615</v>
      </c>
      <c r="C189" t="str">
        <f>"EVERYDAY COUNTER-BIRTHDAY PKG/6-U0382"</f>
        <v>EVERYDAY COUNTER-BIRTHDAY PKG/6-U0382</v>
      </c>
      <c r="D189" t="str">
        <f>"U0382"</f>
        <v>U0382</v>
      </c>
      <c r="E189" t="str">
        <f>"ED20B072"</f>
        <v>ED20B072</v>
      </c>
    </row>
    <row r="190" spans="1:5" x14ac:dyDescent="0.25">
      <c r="A190" t="str">
        <f>"279503"</f>
        <v>279503</v>
      </c>
      <c r="B190" t="str">
        <f>"81983738630"</f>
        <v>81983738630</v>
      </c>
      <c r="C190" t="str">
        <f>"EVERYDAY COUNTER-REL BD GRANDSON ADULT PKG/6-J5530"</f>
        <v>EVERYDAY COUNTER-REL BD GRANDSON ADULT PKG/6-J5530</v>
      </c>
      <c r="D190" t="str">
        <f>"J5530"</f>
        <v>J5530</v>
      </c>
      <c r="E190" t="str">
        <f>"ED20B073"</f>
        <v>ED20B073</v>
      </c>
    </row>
    <row r="191" spans="1:5" x14ac:dyDescent="0.25">
      <c r="A191" t="str">
        <f>"349470"</f>
        <v>349470</v>
      </c>
      <c r="B191" t="str">
        <f>"81983778094"</f>
        <v>81983778094</v>
      </c>
      <c r="C191" t="str">
        <f>"EVERYDAY COUNTER-RELATIVE BIRTHDAY PKG/6-U0430"</f>
        <v>EVERYDAY COUNTER-RELATIVE BIRTHDAY PKG/6-U0430</v>
      </c>
      <c r="D191" t="str">
        <f>"U0430"</f>
        <v>U0430</v>
      </c>
      <c r="E191" t="str">
        <f>"ED20B074"</f>
        <v>ED20B074</v>
      </c>
    </row>
    <row r="192" spans="1:5" x14ac:dyDescent="0.25">
      <c r="A192" t="str">
        <f>"279680"</f>
        <v>279680</v>
      </c>
      <c r="B192" t="str">
        <f>"81983763724"</f>
        <v>81983763724</v>
      </c>
      <c r="C192" t="str">
        <f>"EVERYDAY COUNTER-BIRTHDAY 80TH PKG/6-J8983"</f>
        <v>EVERYDAY COUNTER-BIRTHDAY 80TH PKG/6-J8983</v>
      </c>
      <c r="D192" t="str">
        <f>"J8983"</f>
        <v>J8983</v>
      </c>
      <c r="E192" t="str">
        <f>"ED20B075"</f>
        <v>ED20B075</v>
      </c>
    </row>
    <row r="193" spans="1:5" x14ac:dyDescent="0.25">
      <c r="A193" t="str">
        <f>"308288"</f>
        <v>308288</v>
      </c>
      <c r="B193" t="str">
        <f>"81983773167"</f>
        <v>81983773167</v>
      </c>
      <c r="C193" t="str">
        <f>"EVERYDAY COUNTER-BIRTHDAY FOR ANYONE MED PKG/6-J0314"</f>
        <v>EVERYDAY COUNTER-BIRTHDAY FOR ANYONE MED PKG/6-J0314</v>
      </c>
      <c r="D193" t="str">
        <f>"J0314"</f>
        <v>J0314</v>
      </c>
      <c r="E193" t="str">
        <f>"ED20B076"</f>
        <v>ED20B076</v>
      </c>
    </row>
    <row r="194" spans="1:5" x14ac:dyDescent="0.25">
      <c r="A194" t="str">
        <f>"308397"</f>
        <v>308397</v>
      </c>
      <c r="B194" t="str">
        <f>"81983715037"</f>
        <v>81983715037</v>
      </c>
      <c r="C194" t="str">
        <f>"EVERYDAY COUNTER-BD -MASCULINE PKG/6-J2729"</f>
        <v>EVERYDAY COUNTER-BD -MASCULINE PKG/6-J2729</v>
      </c>
      <c r="D194" t="str">
        <f>"J2729"</f>
        <v>J2729</v>
      </c>
      <c r="E194" t="str">
        <f>"ED20B077"</f>
        <v>ED20B077</v>
      </c>
    </row>
    <row r="195" spans="1:5" x14ac:dyDescent="0.25">
      <c r="A195" t="str">
        <f>"349504"</f>
        <v>349504</v>
      </c>
      <c r="B195" t="str">
        <f>"81983777912"</f>
        <v>81983777912</v>
      </c>
      <c r="C195" t="str">
        <f>"EVERYDAY COUNTER-BIRTHDAY PKG/6-U0412"</f>
        <v>EVERYDAY COUNTER-BIRTHDAY PKG/6-U0412</v>
      </c>
      <c r="D195" t="str">
        <f>"U0412"</f>
        <v>U0412</v>
      </c>
      <c r="E195" t="str">
        <f>"ED20B078"</f>
        <v>ED20B078</v>
      </c>
    </row>
    <row r="196" spans="1:5" x14ac:dyDescent="0.25">
      <c r="A196" t="str">
        <f>"308382"</f>
        <v>308382</v>
      </c>
      <c r="B196" t="str">
        <f>"81983714917"</f>
        <v>81983714917</v>
      </c>
      <c r="C196" t="str">
        <f>"EVERYDAY COUNTER-BD GENERAL FEMININE PKG/6-J2717"</f>
        <v>EVERYDAY COUNTER-BD GENERAL FEMININE PKG/6-J2717</v>
      </c>
      <c r="D196" t="str">
        <f>"J2717"</f>
        <v>J2717</v>
      </c>
      <c r="E196" t="str">
        <f>"ED20B079"</f>
        <v>ED20B079</v>
      </c>
    </row>
    <row r="197" spans="1:5" x14ac:dyDescent="0.25">
      <c r="A197" t="str">
        <f>"308185"</f>
        <v>308185</v>
      </c>
      <c r="B197" t="str">
        <f>"81983773266"</f>
        <v>81983773266</v>
      </c>
      <c r="C197" t="str">
        <f>"EVERYDAY COUNTER-SPECIAL FRIEND FEMININE-86897"</f>
        <v>EVERYDAY COUNTER-SPECIAL FRIEND FEMININE-86897</v>
      </c>
      <c r="D197" t="str">
        <f>"86897"</f>
        <v>86897</v>
      </c>
      <c r="E197" t="str">
        <f>"ED20B080"</f>
        <v>ED20B080</v>
      </c>
    </row>
    <row r="198" spans="1:5" x14ac:dyDescent="0.25">
      <c r="A198" t="str">
        <f>"349502"</f>
        <v>349502</v>
      </c>
      <c r="B198" t="str">
        <f>"81983777622"</f>
        <v>81983777622</v>
      </c>
      <c r="C198" t="str">
        <f>"EVERYDAY COUNTER-BIRTHDAY PKG/6-U0383"</f>
        <v>EVERYDAY COUNTER-BIRTHDAY PKG/6-U0383</v>
      </c>
      <c r="D198" t="str">
        <f>"U0383"</f>
        <v>U0383</v>
      </c>
      <c r="E198" t="str">
        <f>"ED20B081"</f>
        <v>ED20B081</v>
      </c>
    </row>
    <row r="199" spans="1:5" x14ac:dyDescent="0.25">
      <c r="A199" t="str">
        <f>"308413"</f>
        <v>308413</v>
      </c>
      <c r="B199" t="str">
        <f>"81983715228"</f>
        <v>81983715228</v>
      </c>
      <c r="C199" t="str">
        <f>"EVERYDAY COUNTER-RELATIVE BD GRANDSON -A PKG/6-J2748"</f>
        <v>EVERYDAY COUNTER-RELATIVE BD GRANDSON -A PKG/6-J2748</v>
      </c>
      <c r="D199" t="str">
        <f>"J2748"</f>
        <v>J2748</v>
      </c>
      <c r="E199" t="str">
        <f>"ED20B082"</f>
        <v>ED20B082</v>
      </c>
    </row>
    <row r="200" spans="1:5" x14ac:dyDescent="0.25">
      <c r="A200" t="str">
        <f>"307894"</f>
        <v>307894</v>
      </c>
      <c r="B200" t="str">
        <f>"81983678479"</f>
        <v>81983678479</v>
      </c>
      <c r="C200" t="str">
        <f>"EVERYDAY COUNTER-RELATIVE BDAY-GRANDSON-44141"</f>
        <v>EVERYDAY COUNTER-RELATIVE BDAY-GRANDSON-44141</v>
      </c>
      <c r="D200" t="str">
        <f>"44141"</f>
        <v>44141</v>
      </c>
      <c r="E200" t="str">
        <f>"ED20B083"</f>
        <v>ED20B083</v>
      </c>
    </row>
    <row r="201" spans="1:5" x14ac:dyDescent="0.25">
      <c r="A201" t="str">
        <f>"279689"</f>
        <v>279689</v>
      </c>
      <c r="B201" t="str">
        <f>"81983763809"</f>
        <v>81983763809</v>
      </c>
      <c r="C201" t="str">
        <f>"EVERYDAY COUNTER-BIRTHDAY GENERAL FOR ANYONE PKG/6-J8991"</f>
        <v>EVERYDAY COUNTER-BIRTHDAY GENERAL FOR ANYONE PKG/6-J8991</v>
      </c>
      <c r="D201" t="str">
        <f>"J8991"</f>
        <v>J8991</v>
      </c>
      <c r="E201" t="str">
        <f>"ED20B084"</f>
        <v>ED20B084</v>
      </c>
    </row>
    <row r="202" spans="1:5" x14ac:dyDescent="0.25">
      <c r="A202" t="str">
        <f>"349485"</f>
        <v>349485</v>
      </c>
      <c r="B202" t="str">
        <f>"81983777868"</f>
        <v>81983777868</v>
      </c>
      <c r="C202" t="str">
        <f>"EVERYDAY COUNTER-BIRTHDAY PKG/6-U0407"</f>
        <v>EVERYDAY COUNTER-BIRTHDAY PKG/6-U0407</v>
      </c>
      <c r="D202" t="str">
        <f>"U0407"</f>
        <v>U0407</v>
      </c>
      <c r="E202" t="str">
        <f>"ED20B085"</f>
        <v>ED20B085</v>
      </c>
    </row>
    <row r="203" spans="1:5" x14ac:dyDescent="0.25">
      <c r="A203" t="str">
        <f>"308291"</f>
        <v>308291</v>
      </c>
      <c r="B203" t="str">
        <f>"81983773204"</f>
        <v>81983773204</v>
      </c>
      <c r="C203" t="str">
        <f>"EVERYDAY COUNTER-BIRTHDAY MASCULINE SMALL PKG/6-J0318"</f>
        <v>EVERYDAY COUNTER-BIRTHDAY MASCULINE SMALL PKG/6-J0318</v>
      </c>
      <c r="D203" t="str">
        <f>"J0318"</f>
        <v>J0318</v>
      </c>
      <c r="E203" t="str">
        <f>"ED20B086"</f>
        <v>ED20B086</v>
      </c>
    </row>
    <row r="204" spans="1:5" x14ac:dyDescent="0.25">
      <c r="A204" t="str">
        <f>"349513"</f>
        <v>349513</v>
      </c>
      <c r="B204" t="str">
        <f>"81983777929"</f>
        <v>81983777929</v>
      </c>
      <c r="C204" t="str">
        <f>"EVERYDAY COUNTER-BIRTHDAY PKG/6-U0413"</f>
        <v>EVERYDAY COUNTER-BIRTHDAY PKG/6-U0413</v>
      </c>
      <c r="D204" t="str">
        <f>"U0413"</f>
        <v>U0413</v>
      </c>
      <c r="E204" t="str">
        <f>"ED20B087"</f>
        <v>ED20B087</v>
      </c>
    </row>
    <row r="205" spans="1:5" x14ac:dyDescent="0.25">
      <c r="A205" t="str">
        <f>"279469"</f>
        <v>279469</v>
      </c>
      <c r="B205" t="str">
        <f>"81983738395"</f>
        <v>81983738395</v>
      </c>
      <c r="C205" t="str">
        <f>"EVERYDAY COUNTER-BIRTHDAY GEN FEM PKG/6-J5506"</f>
        <v>EVERYDAY COUNTER-BIRTHDAY GEN FEM PKG/6-J5506</v>
      </c>
      <c r="D205" t="str">
        <f>"J5506"</f>
        <v>J5506</v>
      </c>
      <c r="E205" t="str">
        <f>"ED20B088"</f>
        <v>ED20B088</v>
      </c>
    </row>
    <row r="206" spans="1:5" x14ac:dyDescent="0.25">
      <c r="A206" t="str">
        <f>"308400"</f>
        <v>308400</v>
      </c>
      <c r="B206" t="str">
        <f>"81983715068"</f>
        <v>81983715068</v>
      </c>
      <c r="C206" t="str">
        <f>"EVERYDAY COUNTER-BIRTHDAY SPECIAL FRIEND FEM PKG/6-J2732"</f>
        <v>EVERYDAY COUNTER-BIRTHDAY SPECIAL FRIEND FEM PKG/6-J2732</v>
      </c>
      <c r="D206" t="str">
        <f>"J2732"</f>
        <v>J2732</v>
      </c>
      <c r="E206" t="str">
        <f>"ED20B089"</f>
        <v>ED20B089</v>
      </c>
    </row>
    <row r="207" spans="1:5" x14ac:dyDescent="0.25">
      <c r="A207" t="str">
        <f>"349503"</f>
        <v>349503</v>
      </c>
      <c r="B207" t="str">
        <f>"81983777639"</f>
        <v>81983777639</v>
      </c>
      <c r="C207" t="str">
        <f>"EVERYDAY COUNTER-BIRTHDAY PKG/6-U0384"</f>
        <v>EVERYDAY COUNTER-BIRTHDAY PKG/6-U0384</v>
      </c>
      <c r="D207" t="str">
        <f>"U0384"</f>
        <v>U0384</v>
      </c>
      <c r="E207" t="str">
        <f>"ED20B090"</f>
        <v>ED20B090</v>
      </c>
    </row>
    <row r="208" spans="1:5" x14ac:dyDescent="0.25">
      <c r="A208" t="str">
        <f>"308306"</f>
        <v>308306</v>
      </c>
      <c r="B208" t="str">
        <f>"81983773686"</f>
        <v>81983773686</v>
      </c>
      <c r="C208" t="str">
        <f>"EVERYDAY COUNTER-BIRTHDAY GRANDSON PKG/6-J0336"</f>
        <v>EVERYDAY COUNTER-BIRTHDAY GRANDSON PKG/6-J0336</v>
      </c>
      <c r="D208" t="str">
        <f>"J0336"</f>
        <v>J0336</v>
      </c>
      <c r="E208" t="str">
        <f>"ED20B091"</f>
        <v>ED20B091</v>
      </c>
    </row>
    <row r="209" spans="1:5" x14ac:dyDescent="0.25">
      <c r="A209" t="str">
        <f>"349471"</f>
        <v>349471</v>
      </c>
      <c r="B209" t="str">
        <f>"81983778087"</f>
        <v>81983778087</v>
      </c>
      <c r="C209" t="str">
        <f>"EVERYDAY COUNTER-RELATIVE BIRTHDAY PKG/6-U0429"</f>
        <v>EVERYDAY COUNTER-RELATIVE BIRTHDAY PKG/6-U0429</v>
      </c>
      <c r="D209" t="str">
        <f>"U0429"</f>
        <v>U0429</v>
      </c>
      <c r="E209" t="str">
        <f>"ED20B092"</f>
        <v>ED20B092</v>
      </c>
    </row>
    <row r="210" spans="1:5" x14ac:dyDescent="0.25">
      <c r="A210" t="str">
        <f>"308389"</f>
        <v>308389</v>
      </c>
      <c r="B210" t="str">
        <f>"81983773136"</f>
        <v>81983773136</v>
      </c>
      <c r="C210" t="str">
        <f>"EVERYDAY COUNTER-BIRTHDAY GENERAL FOR ANYONE PKG/6-J2723"</f>
        <v>EVERYDAY COUNTER-BIRTHDAY GENERAL FOR ANYONE PKG/6-J2723</v>
      </c>
      <c r="D210" t="str">
        <f>"J2723"</f>
        <v>J2723</v>
      </c>
      <c r="E210" t="str">
        <f>"ED20B093"</f>
        <v>ED20B093</v>
      </c>
    </row>
    <row r="211" spans="1:5" x14ac:dyDescent="0.25">
      <c r="A211" t="str">
        <f>"279693"</f>
        <v>279693</v>
      </c>
      <c r="B211" t="str">
        <f>"81983763823"</f>
        <v>81983763823</v>
      </c>
      <c r="C211" t="str">
        <f>"EVERYDAY COUNTER-BIRTHDAY GENERAL FOR ANYONE PKG/6-J8993"</f>
        <v>EVERYDAY COUNTER-BIRTHDAY GENERAL FOR ANYONE PKG/6-J8993</v>
      </c>
      <c r="D211" t="str">
        <f>"J8993"</f>
        <v>J8993</v>
      </c>
      <c r="E211" t="str">
        <f>"ED20B094"</f>
        <v>ED20B094</v>
      </c>
    </row>
    <row r="212" spans="1:5" x14ac:dyDescent="0.25">
      <c r="A212" t="str">
        <f>"349484"</f>
        <v>349484</v>
      </c>
      <c r="B212" t="str">
        <f>"81983777875"</f>
        <v>81983777875</v>
      </c>
      <c r="C212" t="str">
        <f>"EVERYDAY COUNTER-BIRTHDAY PKG/6-U0408"</f>
        <v>EVERYDAY COUNTER-BIRTHDAY PKG/6-U0408</v>
      </c>
      <c r="D212" t="str">
        <f>"U0408"</f>
        <v>U0408</v>
      </c>
      <c r="E212" t="str">
        <f>"ED20B095"</f>
        <v>ED20B095</v>
      </c>
    </row>
    <row r="213" spans="1:5" x14ac:dyDescent="0.25">
      <c r="A213" t="str">
        <f>"308381"</f>
        <v>308381</v>
      </c>
      <c r="B213" t="str">
        <f>"81983714900"</f>
        <v>81983714900</v>
      </c>
      <c r="C213" t="str">
        <f>"EVERYDAY COUNTER-BD GENERAL FEMININE PKG/6-J2716"</f>
        <v>EVERYDAY COUNTER-BD GENERAL FEMININE PKG/6-J2716</v>
      </c>
      <c r="D213" t="str">
        <f>"J2716"</f>
        <v>J2716</v>
      </c>
      <c r="E213" t="str">
        <f>"ED20B096"</f>
        <v>ED20B096</v>
      </c>
    </row>
    <row r="214" spans="1:5" x14ac:dyDescent="0.25">
      <c r="A214" t="str">
        <f>"308281"</f>
        <v>308281</v>
      </c>
      <c r="B214" t="str">
        <f>"81983773075"</f>
        <v>81983773075</v>
      </c>
      <c r="C214" t="str">
        <f>"EVERYDAY COUNTER-BIRTHDAY FEMININE SMALL PKG/6-J0308"</f>
        <v>EVERYDAY COUNTER-BIRTHDAY FEMININE SMALL PKG/6-J0308</v>
      </c>
      <c r="D214" t="str">
        <f>"J0308"</f>
        <v>J0308</v>
      </c>
      <c r="E214" t="str">
        <f>"ED20B097"</f>
        <v>ED20B097</v>
      </c>
    </row>
    <row r="215" spans="1:5" x14ac:dyDescent="0.25">
      <c r="A215" t="str">
        <f>"279723"</f>
        <v>279723</v>
      </c>
      <c r="B215" t="str">
        <f>"81983764042"</f>
        <v>81983764042</v>
      </c>
      <c r="C215" t="str">
        <f>"EVERYDAY COUNTER-BIRTHDAY-SPECIAL FRIEND PKG/6-J9015"</f>
        <v>EVERYDAY COUNTER-BIRTHDAY-SPECIAL FRIEND PKG/6-J9015</v>
      </c>
      <c r="D215" t="str">
        <f>"J9015"</f>
        <v>J9015</v>
      </c>
      <c r="E215" t="str">
        <f>"ED20B098"</f>
        <v>ED20B098</v>
      </c>
    </row>
    <row r="216" spans="1:5" x14ac:dyDescent="0.25">
      <c r="A216" t="str">
        <f>"349495"</f>
        <v>349495</v>
      </c>
      <c r="B216" t="str">
        <f>"81983777646"</f>
        <v>81983777646</v>
      </c>
      <c r="C216" t="str">
        <f>"EVERYDAY COUNTER-BIRTHDAY PKG/6-U0385"</f>
        <v>EVERYDAY COUNTER-BIRTHDAY PKG/6-U0385</v>
      </c>
      <c r="D216" t="str">
        <f>"U0385"</f>
        <v>U0385</v>
      </c>
      <c r="E216" t="str">
        <f>"ED20B099"</f>
        <v>ED20B099</v>
      </c>
    </row>
    <row r="217" spans="1:5" x14ac:dyDescent="0.25">
      <c r="A217" t="str">
        <f>"308032"</f>
        <v>308032</v>
      </c>
      <c r="B217" t="str">
        <f>"81983773761"</f>
        <v>81983773761</v>
      </c>
      <c r="C217" t="str">
        <f>"EVERYDAY COUNTER-GREAT GRANDSON (JUV) BIRTHDAY-66685"</f>
        <v>EVERYDAY COUNTER-GREAT GRANDSON (JUV) BIRTHDAY-66685</v>
      </c>
      <c r="D217" t="str">
        <f>"66685"</f>
        <v>66685</v>
      </c>
      <c r="E217" t="str">
        <f>"ED20B100"</f>
        <v>ED20B100</v>
      </c>
    </row>
    <row r="218" spans="1:5" x14ac:dyDescent="0.25">
      <c r="A218" t="str">
        <f>"307962"</f>
        <v>307962</v>
      </c>
      <c r="B218" t="str">
        <f>"81983678547"</f>
        <v>81983678547</v>
      </c>
      <c r="C218" t="str">
        <f>"EVERYDAY COUNTER-GRANDSON BIRTHDAY-55102"</f>
        <v>EVERYDAY COUNTER-GRANDSON BIRTHDAY-55102</v>
      </c>
      <c r="D218" t="str">
        <f>"55102"</f>
        <v>55102</v>
      </c>
      <c r="E218" t="str">
        <f>"ED20B101"</f>
        <v>ED20B101</v>
      </c>
    </row>
    <row r="219" spans="1:5" x14ac:dyDescent="0.25">
      <c r="A219" t="str">
        <f>"279696"</f>
        <v>279696</v>
      </c>
      <c r="B219" t="str">
        <f>"81983773129"</f>
        <v>81983773129</v>
      </c>
      <c r="C219" t="str">
        <f>"EVERYDAY COUNTER-BIRTHDAY GENERAL FOR ANYONE PKG/6-J8995"</f>
        <v>EVERYDAY COUNTER-BIRTHDAY GENERAL FOR ANYONE PKG/6-J8995</v>
      </c>
      <c r="D219" t="str">
        <f>"J8995"</f>
        <v>J8995</v>
      </c>
      <c r="E219" t="str">
        <f>"ED20B102"</f>
        <v>ED20B102</v>
      </c>
    </row>
    <row r="220" spans="1:5" x14ac:dyDescent="0.25">
      <c r="A220" t="str">
        <f>"308388"</f>
        <v>308388</v>
      </c>
      <c r="B220" t="str">
        <f>"81983773150"</f>
        <v>81983773150</v>
      </c>
      <c r="C220" t="str">
        <f>"EVERYDAY COUNTER-BIRTHDAY GENERAL FOR ANYONE PKG/6-J2722"</f>
        <v>EVERYDAY COUNTER-BIRTHDAY GENERAL FOR ANYONE PKG/6-J2722</v>
      </c>
      <c r="D220" t="str">
        <f>"J2722"</f>
        <v>J2722</v>
      </c>
      <c r="E220" t="str">
        <f>"ED20B103"</f>
        <v>ED20B103</v>
      </c>
    </row>
    <row r="221" spans="1:5" x14ac:dyDescent="0.25">
      <c r="A221" t="str">
        <f>"279697"</f>
        <v>279697</v>
      </c>
      <c r="B221" t="str">
        <f>"81983763854"</f>
        <v>81983763854</v>
      </c>
      <c r="C221" t="str">
        <f>"EVERYDAY COUNTER-BIRTHDAY GENERAL FOR ANYONE PKG/6-J8996"</f>
        <v>EVERYDAY COUNTER-BIRTHDAY GENERAL FOR ANYONE PKG/6-J8996</v>
      </c>
      <c r="D221" t="str">
        <f>"J8996"</f>
        <v>J8996</v>
      </c>
      <c r="E221" t="str">
        <f>"ED20B104"</f>
        <v>ED20B104</v>
      </c>
    </row>
    <row r="222" spans="1:5" x14ac:dyDescent="0.25">
      <c r="A222" t="str">
        <f>"349473"</f>
        <v>349473</v>
      </c>
      <c r="B222" t="str">
        <f>"81983777837"</f>
        <v>81983777837</v>
      </c>
      <c r="C222" t="str">
        <f>"EVERYDAY COUNTER-BIRTHDAY PKG/6-U0404"</f>
        <v>EVERYDAY COUNTER-BIRTHDAY PKG/6-U0404</v>
      </c>
      <c r="D222" t="str">
        <f>"U0404"</f>
        <v>U0404</v>
      </c>
      <c r="E222" t="str">
        <f>"ED20B105"</f>
        <v>ED20B105</v>
      </c>
    </row>
    <row r="223" spans="1:5" x14ac:dyDescent="0.25">
      <c r="A223" t="str">
        <f>"349475"</f>
        <v>349475</v>
      </c>
      <c r="B223" t="str">
        <f>"81983777844"</f>
        <v>81983777844</v>
      </c>
      <c r="C223" t="str">
        <f>"EVERYDAY COUNTER-BIRTHDAY PKG/6-U0405"</f>
        <v>EVERYDAY COUNTER-BIRTHDAY PKG/6-U0405</v>
      </c>
      <c r="D223" t="str">
        <f>"U0405"</f>
        <v>U0405</v>
      </c>
      <c r="E223" t="str">
        <f>"ED20B106"</f>
        <v>ED20B106</v>
      </c>
    </row>
    <row r="224" spans="1:5" x14ac:dyDescent="0.25">
      <c r="A224" t="str">
        <f>"349498"</f>
        <v>349498</v>
      </c>
      <c r="B224" t="str">
        <f>"81983777653"</f>
        <v>81983777653</v>
      </c>
      <c r="C224" t="str">
        <f>"EVERYDAY COUNTER-BIRTHDAY PKG/6-U0386"</f>
        <v>EVERYDAY COUNTER-BIRTHDAY PKG/6-U0386</v>
      </c>
      <c r="D224" t="str">
        <f>"U0386"</f>
        <v>U0386</v>
      </c>
      <c r="E224" t="str">
        <f>"ED20B107"</f>
        <v>ED20B107</v>
      </c>
    </row>
    <row r="225" spans="1:5" x14ac:dyDescent="0.25">
      <c r="A225" t="str">
        <f>"349496"</f>
        <v>349496</v>
      </c>
      <c r="B225" t="str">
        <f>"81983777660"</f>
        <v>81983777660</v>
      </c>
      <c r="C225" t="str">
        <f>"EVERYDAY COUNTER-BIRTHDAY PKG/6-U0387"</f>
        <v>EVERYDAY COUNTER-BIRTHDAY PKG/6-U0387</v>
      </c>
      <c r="D225" t="str">
        <f>"U0387"</f>
        <v>U0387</v>
      </c>
      <c r="E225" t="str">
        <f>"ED20B108"</f>
        <v>ED20B108</v>
      </c>
    </row>
    <row r="226" spans="1:5" x14ac:dyDescent="0.25">
      <c r="A226" t="str">
        <f>"279531"</f>
        <v>279531</v>
      </c>
      <c r="B226" t="str">
        <f>"81983738876"</f>
        <v>81983738876</v>
      </c>
      <c r="C226" t="str">
        <f>"EVERYDAY COUNTER-REL BD UNCLE PKG/6-J5554"</f>
        <v>EVERYDAY COUNTER-REL BD UNCLE PKG/6-J5554</v>
      </c>
      <c r="D226" t="str">
        <f>"J5554"</f>
        <v>J5554</v>
      </c>
      <c r="E226" t="str">
        <f>"ED20B109"</f>
        <v>ED20B109</v>
      </c>
    </row>
    <row r="227" spans="1:5" x14ac:dyDescent="0.25">
      <c r="A227" t="str">
        <f>"349481"</f>
        <v>349481</v>
      </c>
      <c r="B227" t="str">
        <f>"81983777882"</f>
        <v>81983777882</v>
      </c>
      <c r="C227" t="str">
        <f>"EVERYDAY COUNTER-BIRTHDAY PKG/6-U0409"</f>
        <v>EVERYDAY COUNTER-BIRTHDAY PKG/6-U0409</v>
      </c>
      <c r="D227" t="str">
        <f>"U0409"</f>
        <v>U0409</v>
      </c>
      <c r="E227" t="str">
        <f>"ED20B110"</f>
        <v>ED20B110</v>
      </c>
    </row>
    <row r="228" spans="1:5" x14ac:dyDescent="0.25">
      <c r="A228" t="str">
        <f>"349483"</f>
        <v>349483</v>
      </c>
      <c r="B228" t="str">
        <f>"81983777899"</f>
        <v>81983777899</v>
      </c>
      <c r="C228" t="str">
        <f>"EVERYDAY COUNTER-BIRTHDAY PKG/6-U0410"</f>
        <v>EVERYDAY COUNTER-BIRTHDAY PKG/6-U0410</v>
      </c>
      <c r="D228" t="str">
        <f>"U0410"</f>
        <v>U0410</v>
      </c>
      <c r="E228" t="str">
        <f>"ED20B111"</f>
        <v>ED20B111</v>
      </c>
    </row>
    <row r="229" spans="1:5" x14ac:dyDescent="0.25">
      <c r="A229" t="str">
        <f>"349482"</f>
        <v>349482</v>
      </c>
      <c r="B229" t="str">
        <f>"81983777905"</f>
        <v>81983777905</v>
      </c>
      <c r="C229" t="str">
        <f>"EVERYDAY COUNTER-BIRTHDAY PKG/6-U0411"</f>
        <v>EVERYDAY COUNTER-BIRTHDAY PKG/6-U0411</v>
      </c>
      <c r="D229" t="str">
        <f>"U0411"</f>
        <v>U0411</v>
      </c>
      <c r="E229" t="str">
        <f>"ED20B112"</f>
        <v>ED20B112</v>
      </c>
    </row>
    <row r="230" spans="1:5" x14ac:dyDescent="0.25">
      <c r="A230" t="str">
        <f>"308387"</f>
        <v>308387</v>
      </c>
      <c r="B230" t="str">
        <f>"81983714955"</f>
        <v>81983714955</v>
      </c>
      <c r="C230" t="str">
        <f>"EVERYDAY COUNTER-BIRTHDAY GENERAL FOR ANYONE PKG/6-J2721"</f>
        <v>EVERYDAY COUNTER-BIRTHDAY GENERAL FOR ANYONE PKG/6-J2721</v>
      </c>
      <c r="D230" t="str">
        <f>"J2721"</f>
        <v>J2721</v>
      </c>
      <c r="E230" t="str">
        <f>"ED20B113"</f>
        <v>ED20B113</v>
      </c>
    </row>
    <row r="231" spans="1:5" x14ac:dyDescent="0.25">
      <c r="A231" t="str">
        <f>"279467"</f>
        <v>279467</v>
      </c>
      <c r="B231" t="str">
        <f>"81983738371"</f>
        <v>81983738371</v>
      </c>
      <c r="C231" t="str">
        <f>"EVERYDAY COUNTER-BIRTHDAY GEN FEM PKG/6-J5504"</f>
        <v>EVERYDAY COUNTER-BIRTHDAY GEN FEM PKG/6-J5504</v>
      </c>
      <c r="D231" t="str">
        <f>"J5504"</f>
        <v>J5504</v>
      </c>
      <c r="E231" t="str">
        <f>"ED20B114"</f>
        <v>ED20B114</v>
      </c>
    </row>
    <row r="232" spans="1:5" x14ac:dyDescent="0.25">
      <c r="A232" t="str">
        <f>"349500"</f>
        <v>349500</v>
      </c>
      <c r="B232" t="str">
        <f>"81983777677"</f>
        <v>81983777677</v>
      </c>
      <c r="C232" t="str">
        <f>"EVERYDAY COUNTER-BIRTHDAY PKG/6-U0388"</f>
        <v>EVERYDAY COUNTER-BIRTHDAY PKG/6-U0388</v>
      </c>
      <c r="D232" t="str">
        <f>"U0388"</f>
        <v>U0388</v>
      </c>
      <c r="E232" t="str">
        <f>"ED20B115"</f>
        <v>ED20B115</v>
      </c>
    </row>
    <row r="233" spans="1:5" x14ac:dyDescent="0.25">
      <c r="A233" t="str">
        <f>"349499"</f>
        <v>349499</v>
      </c>
      <c r="B233" t="str">
        <f>"81983777684"</f>
        <v>81983777684</v>
      </c>
      <c r="C233" t="str">
        <f>"EVERYDAY COUNTER-BIRTHDAY PKG/6-U0389"</f>
        <v>EVERYDAY COUNTER-BIRTHDAY PKG/6-U0389</v>
      </c>
      <c r="D233" t="str">
        <f>"U0389"</f>
        <v>U0389</v>
      </c>
      <c r="E233" t="str">
        <f>"ED20B116"</f>
        <v>ED20B116</v>
      </c>
    </row>
    <row r="234" spans="1:5" x14ac:dyDescent="0.25">
      <c r="A234" t="str">
        <f>"349493"</f>
        <v>349493</v>
      </c>
      <c r="B234" t="str">
        <f>"81983777691"</f>
        <v>81983777691</v>
      </c>
      <c r="C234" t="str">
        <f>"EVERYDAY COUNTER-BIRTHDAY PKG/6-U0390"</f>
        <v>EVERYDAY COUNTER-BIRTHDAY PKG/6-U0390</v>
      </c>
      <c r="D234" t="str">
        <f>"U0390"</f>
        <v>U0390</v>
      </c>
      <c r="E234" t="str">
        <f>"ED20B117"</f>
        <v>ED20B117</v>
      </c>
    </row>
    <row r="235" spans="1:5" x14ac:dyDescent="0.25">
      <c r="A235" t="str">
        <f>"308174"</f>
        <v>308174</v>
      </c>
      <c r="B235" t="str">
        <f>"81983773259"</f>
        <v>81983773259</v>
      </c>
      <c r="C235" t="str">
        <f>"EVERYDAY COUNTER-SPECIAL FRIEND FEMININE-84660"</f>
        <v>EVERYDAY COUNTER-SPECIAL FRIEND FEMININE-84660</v>
      </c>
      <c r="D235" t="str">
        <f>"84660"</f>
        <v>84660</v>
      </c>
      <c r="E235" t="str">
        <f>"ED20C001"</f>
        <v>ED20C001</v>
      </c>
    </row>
    <row r="236" spans="1:5" x14ac:dyDescent="0.25">
      <c r="A236" t="str">
        <f>"345267"</f>
        <v>345267</v>
      </c>
      <c r="B236" t="str">
        <f>"81983793868"</f>
        <v>81983793868</v>
      </c>
      <c r="C236" t="str">
        <f>"EVERYDAY COUNTER-WEDDING PKG/6-U2602"</f>
        <v>EVERYDAY COUNTER-WEDDING PKG/6-U2602</v>
      </c>
      <c r="D236" t="str">
        <f>"U2602"</f>
        <v>U2602</v>
      </c>
      <c r="E236" t="str">
        <f>"ED20C002"</f>
        <v>ED20C002</v>
      </c>
    </row>
    <row r="237" spans="1:5" x14ac:dyDescent="0.25">
      <c r="A237" t="str">
        <f>"345266"</f>
        <v>345266</v>
      </c>
      <c r="B237" t="str">
        <f>"81983793851"</f>
        <v>81983793851</v>
      </c>
      <c r="C237" t="str">
        <f>"EVERYDAY COUNTER-WEDDING PKG/6-U2601"</f>
        <v>EVERYDAY COUNTER-WEDDING PKG/6-U2601</v>
      </c>
      <c r="D237" t="str">
        <f>"U2601"</f>
        <v>U2601</v>
      </c>
      <c r="E237" t="str">
        <f>"ED20C003"</f>
        <v>ED20C003</v>
      </c>
    </row>
    <row r="238" spans="1:5" x14ac:dyDescent="0.25">
      <c r="A238" t="str">
        <f>"345277"</f>
        <v>345277</v>
      </c>
      <c r="B238" t="str">
        <f>"81983794643"</f>
        <v>81983794643</v>
      </c>
      <c r="C238" t="str">
        <f>"EVERYDAY COUNTER-WEDDING PKG/6-U2683"</f>
        <v>EVERYDAY COUNTER-WEDDING PKG/6-U2683</v>
      </c>
      <c r="D238" t="str">
        <f>"U2683"</f>
        <v>U2683</v>
      </c>
      <c r="E238" t="str">
        <f>"ED20C004"</f>
        <v>ED20C004</v>
      </c>
    </row>
    <row r="239" spans="1:5" x14ac:dyDescent="0.25">
      <c r="A239" t="str">
        <f>"345276"</f>
        <v>345276</v>
      </c>
      <c r="B239" t="str">
        <f>"81983794636"</f>
        <v>81983794636</v>
      </c>
      <c r="C239" t="str">
        <f>"EVERYDAY COUNTER-WEDDING PKG/6-U2682"</f>
        <v>EVERYDAY COUNTER-WEDDING PKG/6-U2682</v>
      </c>
      <c r="D239" t="str">
        <f>"U2682"</f>
        <v>U2682</v>
      </c>
      <c r="E239" t="str">
        <f>"ED20C005"</f>
        <v>ED20C005</v>
      </c>
    </row>
    <row r="240" spans="1:5" x14ac:dyDescent="0.25">
      <c r="A240" t="str">
        <f>"308275"</f>
        <v>308275</v>
      </c>
      <c r="B240" t="str">
        <f>"81983682513"</f>
        <v>81983682513</v>
      </c>
      <c r="C240" t="str">
        <f>"EVERYDAY COUNTER-ANNIVERSARY-HUSBAND PKG/6-J0025"</f>
        <v>EVERYDAY COUNTER-ANNIVERSARY-HUSBAND PKG/6-J0025</v>
      </c>
      <c r="D240" t="str">
        <f>"J0025"</f>
        <v>J0025</v>
      </c>
      <c r="E240" t="str">
        <f>"ED20C006"</f>
        <v>ED20C006</v>
      </c>
    </row>
    <row r="241" spans="1:5" x14ac:dyDescent="0.25">
      <c r="A241" t="str">
        <f>"298681"</f>
        <v>298681</v>
      </c>
      <c r="B241" t="str">
        <f>"81983772757"</f>
        <v>81983772757</v>
      </c>
      <c r="C241" t="str">
        <f>"EVERYDAY COUNTER-ANNIVERSARY PKG/6-10251"</f>
        <v>EVERYDAY COUNTER-ANNIVERSARY PKG/6-10251</v>
      </c>
      <c r="D241" t="str">
        <f>"10251"</f>
        <v>10251</v>
      </c>
      <c r="E241" t="str">
        <f>"ED20C007"</f>
        <v>ED20C007</v>
      </c>
    </row>
    <row r="242" spans="1:5" x14ac:dyDescent="0.25">
      <c r="A242" t="str">
        <f>"308158"</f>
        <v>308158</v>
      </c>
      <c r="B242" t="str">
        <f>"81983772283"</f>
        <v>81983772283</v>
      </c>
      <c r="C242" t="str">
        <f>"EVERYDAY COUNTER-THANK YOU - FOR ANYONE-J9940"</f>
        <v>EVERYDAY COUNTER-THANK YOU - FOR ANYONE-J9940</v>
      </c>
      <c r="D242" t="str">
        <f>"J9940"</f>
        <v>J9940</v>
      </c>
      <c r="E242" t="str">
        <f>"ED20C008"</f>
        <v>ED20C008</v>
      </c>
    </row>
    <row r="243" spans="1:5" x14ac:dyDescent="0.25">
      <c r="A243" t="str">
        <f>"308404"</f>
        <v>308404</v>
      </c>
      <c r="B243" t="str">
        <f>"81983715105"</f>
        <v>81983715105</v>
      </c>
      <c r="C243" t="str">
        <f>"EVERYDAY COUNTER-BIRTHDAY SPECIAL FRIEND FEM PKG/6-J2736"</f>
        <v>EVERYDAY COUNTER-BIRTHDAY SPECIAL FRIEND FEM PKG/6-J2736</v>
      </c>
      <c r="D243" t="str">
        <f>"J2736"</f>
        <v>J2736</v>
      </c>
      <c r="E243" t="str">
        <f>"ED20C009"</f>
        <v>ED20C009</v>
      </c>
    </row>
    <row r="244" spans="1:5" x14ac:dyDescent="0.25">
      <c r="A244" t="str">
        <f>"308264"</f>
        <v>308264</v>
      </c>
      <c r="B244" t="str">
        <f>"81983679575"</f>
        <v>81983679575</v>
      </c>
      <c r="C244" t="str">
        <f>"EVERYDAY COUNTER-WEDDING PKG/6-93235"</f>
        <v>EVERYDAY COUNTER-WEDDING PKG/6-93235</v>
      </c>
      <c r="D244" t="str">
        <f>"93235"</f>
        <v>93235</v>
      </c>
      <c r="E244" t="str">
        <f>"ED20C010"</f>
        <v>ED20C010</v>
      </c>
    </row>
    <row r="245" spans="1:5" x14ac:dyDescent="0.25">
      <c r="A245" t="str">
        <f>"308120"</f>
        <v>308120</v>
      </c>
      <c r="B245" t="str">
        <f>"81983772368"</f>
        <v>81983772368</v>
      </c>
      <c r="C245" t="str">
        <f>"EVERYDAY COUNTER-WEDDING-J9948"</f>
        <v>EVERYDAY COUNTER-WEDDING-J9948</v>
      </c>
      <c r="D245" t="str">
        <f>"J9948"</f>
        <v>J9948</v>
      </c>
      <c r="E245" t="str">
        <f>"ED20C011"</f>
        <v>ED20C011</v>
      </c>
    </row>
    <row r="246" spans="1:5" x14ac:dyDescent="0.25">
      <c r="A246" t="str">
        <f>"345275"</f>
        <v>345275</v>
      </c>
      <c r="B246" t="str">
        <f>"81983794629"</f>
        <v>81983794629</v>
      </c>
      <c r="C246" t="str">
        <f>"EVERYDAY COUNTER-WEDDING PKG/6-U2681"</f>
        <v>EVERYDAY COUNTER-WEDDING PKG/6-U2681</v>
      </c>
      <c r="D246" t="str">
        <f>"U2681"</f>
        <v>U2681</v>
      </c>
      <c r="E246" t="str">
        <f>"ED20C012"</f>
        <v>ED20C012</v>
      </c>
    </row>
    <row r="247" spans="1:5" x14ac:dyDescent="0.25">
      <c r="A247" t="str">
        <f>"401615"</f>
        <v>401615</v>
      </c>
      <c r="B247" t="str">
        <f>"81983768545"</f>
        <v>81983768545</v>
      </c>
      <c r="C247" t="str">
        <f>"EVERYDAY COUNTER-WEDDING-HL PREMIUM (PACK OF 2)-J9574"</f>
        <v>EVERYDAY COUNTER-WEDDING-HL PREMIUM (PACK OF 2)-J9574</v>
      </c>
      <c r="D247" t="str">
        <f>"J9574"</f>
        <v>J9574</v>
      </c>
      <c r="E247" t="str">
        <f>"ED20C013"</f>
        <v>ED20C013</v>
      </c>
    </row>
    <row r="248" spans="1:5" x14ac:dyDescent="0.25">
      <c r="A248" t="str">
        <f>"308199"</f>
        <v>308199</v>
      </c>
      <c r="B248" t="str">
        <f>"81983677106"</f>
        <v>81983677106</v>
      </c>
      <c r="C248" t="str">
        <f>"EVERYDAY COUNTER-ANNIVERSARY HUSBAND PKG/6-91974"</f>
        <v>EVERYDAY COUNTER-ANNIVERSARY HUSBAND PKG/6-91974</v>
      </c>
      <c r="D248" t="str">
        <f>"91974"</f>
        <v>91974</v>
      </c>
      <c r="E248" t="str">
        <f>"ED20C014"</f>
        <v>ED20C014</v>
      </c>
    </row>
    <row r="249" spans="1:5" x14ac:dyDescent="0.25">
      <c r="A249" t="str">
        <f>"298679"</f>
        <v>298679</v>
      </c>
      <c r="B249" t="str">
        <f>"81983772740"</f>
        <v>81983772740</v>
      </c>
      <c r="C249" t="str">
        <f>"EVERYDAY COUNTER-ANNIVERSARY 60TH PKG/6-10249"</f>
        <v>EVERYDAY COUNTER-ANNIVERSARY 60TH PKG/6-10249</v>
      </c>
      <c r="D249" t="str">
        <f>"10249"</f>
        <v>10249</v>
      </c>
      <c r="E249" t="str">
        <f>"ED20C015"</f>
        <v>ED20C015</v>
      </c>
    </row>
    <row r="250" spans="1:5" x14ac:dyDescent="0.25">
      <c r="A250" t="str">
        <f>"279639"</f>
        <v>279639</v>
      </c>
      <c r="B250" t="str">
        <f>"81983757792"</f>
        <v>81983757792</v>
      </c>
      <c r="C250" t="str">
        <f>"EVERYDAY COUNTER-THANK YOU PKG/6-J8227"</f>
        <v>EVERYDAY COUNTER-THANK YOU PKG/6-J8227</v>
      </c>
      <c r="D250" t="str">
        <f>"J8227"</f>
        <v>J8227</v>
      </c>
      <c r="E250" t="str">
        <f>"ED20C016"</f>
        <v>ED20C016</v>
      </c>
    </row>
    <row r="251" spans="1:5" x14ac:dyDescent="0.25">
      <c r="A251" t="str">
        <f>"308373"</f>
        <v>308373</v>
      </c>
      <c r="B251" t="str">
        <f>"81983714832"</f>
        <v>81983714832</v>
      </c>
      <c r="C251" t="str">
        <f>"EVERYDAY COUNTER-BD PASTOR PKG/6-J2709"</f>
        <v>EVERYDAY COUNTER-BD PASTOR PKG/6-J2709</v>
      </c>
      <c r="D251" t="str">
        <f>"J2709"</f>
        <v>J2709</v>
      </c>
      <c r="E251" t="str">
        <f>"ED20C017"</f>
        <v>ED20C017</v>
      </c>
    </row>
    <row r="252" spans="1:5" x14ac:dyDescent="0.25">
      <c r="A252" t="str">
        <f>"308481"</f>
        <v>308481</v>
      </c>
      <c r="B252" t="str">
        <f>"81983774881"</f>
        <v>81983774881</v>
      </c>
      <c r="C252" t="str">
        <f>"EVERYDAY COUNTER-WEDDING/WEDDING CAKE-WITH JOY PKG/6-J3472"</f>
        <v>EVERYDAY COUNTER-WEDDING/WEDDING CAKE-WITH JOY PKG/6-J3472</v>
      </c>
      <c r="D252" t="str">
        <f>"J3472"</f>
        <v>J3472</v>
      </c>
      <c r="E252" t="str">
        <f>"ED20C018"</f>
        <v>ED20C018</v>
      </c>
    </row>
    <row r="253" spans="1:5" x14ac:dyDescent="0.25">
      <c r="A253" t="str">
        <f>"279648"</f>
        <v>279648</v>
      </c>
      <c r="B253" t="str">
        <f>"81983757877"</f>
        <v>81983757877</v>
      </c>
      <c r="C253" t="str">
        <f>"EVERYDAY COUNTER-WEDDING PKG/6-J8235"</f>
        <v>EVERYDAY COUNTER-WEDDING PKG/6-J8235</v>
      </c>
      <c r="D253" t="str">
        <f>"J8235"</f>
        <v>J8235</v>
      </c>
      <c r="E253" t="str">
        <f>"ED20C019"</f>
        <v>ED20C019</v>
      </c>
    </row>
    <row r="254" spans="1:5" x14ac:dyDescent="0.25">
      <c r="A254" t="str">
        <f>"345224"</f>
        <v>345224</v>
      </c>
      <c r="B254" t="str">
        <f>"81983788994"</f>
        <v>81983788994</v>
      </c>
      <c r="C254" t="str">
        <f>"EVERYDAY COUNTER-WEDDING-PREMIUM PKG/2"</f>
        <v>EVERYDAY COUNTER-WEDDING-PREMIUM PKG/2</v>
      </c>
      <c r="D254" t="str">
        <f>"U1985"</f>
        <v>U1985</v>
      </c>
      <c r="E254" t="str">
        <f>"ED20C020"</f>
        <v>ED20C020</v>
      </c>
    </row>
    <row r="255" spans="1:5" x14ac:dyDescent="0.25">
      <c r="A255" t="str">
        <f>"345226"</f>
        <v>345226</v>
      </c>
      <c r="B255" t="str">
        <f>"81983789014"</f>
        <v>81983789014</v>
      </c>
      <c r="C255" t="str">
        <f>"EVERYDAY COUNTER-WEDDING-PREMIUM PKG/2"</f>
        <v>EVERYDAY COUNTER-WEDDING-PREMIUM PKG/2</v>
      </c>
      <c r="D255" t="str">
        <f>"U1987"</f>
        <v>U1987</v>
      </c>
      <c r="E255" t="str">
        <f>"ED20C021"</f>
        <v>ED20C021</v>
      </c>
    </row>
    <row r="256" spans="1:5" x14ac:dyDescent="0.25">
      <c r="A256" t="str">
        <f>"308136"</f>
        <v>308136</v>
      </c>
      <c r="B256" t="str">
        <f>"81983771699"</f>
        <v>81983771699</v>
      </c>
      <c r="C256" t="str">
        <f>"EVERYDAY COUNTER-ANNIVERSARY-HUSBAND/MY LOVE PKG/6-J9881"</f>
        <v>EVERYDAY COUNTER-ANNIVERSARY-HUSBAND/MY LOVE PKG/6-J9881</v>
      </c>
      <c r="D256" t="str">
        <f>"J9881"</f>
        <v>J9881</v>
      </c>
      <c r="E256" t="str">
        <f>"ED20C022"</f>
        <v>ED20C022</v>
      </c>
    </row>
    <row r="257" spans="1:5" x14ac:dyDescent="0.25">
      <c r="A257" t="str">
        <f>"308129"</f>
        <v>308129</v>
      </c>
      <c r="B257" t="str">
        <f>"81983602887"</f>
        <v>81983602887</v>
      </c>
      <c r="C257" t="str">
        <f>"EVERYDAY COUNTER-50TH ANNIVERSARY/GOLD LETTERS PKG/6-79209"</f>
        <v>EVERYDAY COUNTER-50TH ANNIVERSARY/GOLD LETTERS PKG/6-79209</v>
      </c>
      <c r="D257" t="str">
        <f>"79209"</f>
        <v>79209</v>
      </c>
      <c r="E257" t="str">
        <f>"ED20C023"</f>
        <v>ED20C023</v>
      </c>
    </row>
    <row r="258" spans="1:5" x14ac:dyDescent="0.25">
      <c r="A258" t="str">
        <f>"308467"</f>
        <v>308467</v>
      </c>
      <c r="B258" t="str">
        <f>"81983721991"</f>
        <v>81983721991</v>
      </c>
      <c r="C258" t="str">
        <f>"EVERYDAY COUNTER-THANK YOU/KINDNESS OF OTHERS PKG/6-J3451"</f>
        <v>EVERYDAY COUNTER-THANK YOU/KINDNESS OF OTHERS PKG/6-J3451</v>
      </c>
      <c r="D258" t="str">
        <f>"J3451"</f>
        <v>J3451</v>
      </c>
      <c r="E258" t="str">
        <f>"ED20C024"</f>
        <v>ED20C024</v>
      </c>
    </row>
    <row r="259" spans="1:5" x14ac:dyDescent="0.25">
      <c r="A259" t="str">
        <f>"349469"</f>
        <v>349469</v>
      </c>
      <c r="B259" t="str">
        <f>"81983777769"</f>
        <v>81983777769</v>
      </c>
      <c r="C259" t="str">
        <f>"EVERYDAY COUNTER-BIRTHDAY PKG/6-U0397"</f>
        <v>EVERYDAY COUNTER-BIRTHDAY PKG/6-U0397</v>
      </c>
      <c r="D259" t="str">
        <f>"U0397"</f>
        <v>U0397</v>
      </c>
      <c r="E259" t="str">
        <f>"ED20C025"</f>
        <v>ED20C025</v>
      </c>
    </row>
    <row r="260" spans="1:5" x14ac:dyDescent="0.25">
      <c r="A260" t="str">
        <f>"308239"</f>
        <v>308239</v>
      </c>
      <c r="B260" t="str">
        <f>"081983774799"</f>
        <v>081983774799</v>
      </c>
      <c r="C260" t="str">
        <f>"EVERYDAY COUNTER-WEDDING PKG/6-92028"</f>
        <v>EVERYDAY COUNTER-WEDDING PKG/6-92028</v>
      </c>
      <c r="D260" t="str">
        <f>"92028"</f>
        <v>92028</v>
      </c>
      <c r="E260" t="str">
        <f>"ED20C026"</f>
        <v>ED20C026</v>
      </c>
    </row>
    <row r="261" spans="1:5" x14ac:dyDescent="0.25">
      <c r="A261" t="str">
        <f>"308241"</f>
        <v>308241</v>
      </c>
      <c r="B261" t="str">
        <f>"81983677625"</f>
        <v>81983677625</v>
      </c>
      <c r="C261" t="str">
        <f>"EVERYDAY COUNTER-WEDDING PKG/6-92035"</f>
        <v>EVERYDAY COUNTER-WEDDING PKG/6-92035</v>
      </c>
      <c r="D261" t="str">
        <f>"92035"</f>
        <v>92035</v>
      </c>
      <c r="E261" t="str">
        <f>"ED20C027"</f>
        <v>ED20C027</v>
      </c>
    </row>
    <row r="262" spans="1:5" x14ac:dyDescent="0.25">
      <c r="A262" t="str">
        <f>"345225"</f>
        <v>345225</v>
      </c>
      <c r="B262" t="str">
        <f>"81983789007"</f>
        <v>81983789007</v>
      </c>
      <c r="C262" t="str">
        <f>"EVERYDAY COUNTER-WEDDING-PREMIUM PKG/2"</f>
        <v>EVERYDAY COUNTER-WEDDING-PREMIUM PKG/2</v>
      </c>
      <c r="D262" t="str">
        <f>"U1986"</f>
        <v>U1986</v>
      </c>
      <c r="E262" t="str">
        <f>"ED20C028"</f>
        <v>ED20C028</v>
      </c>
    </row>
    <row r="263" spans="1:5" x14ac:dyDescent="0.25">
      <c r="A263" t="str">
        <f>"345274"</f>
        <v>345274</v>
      </c>
      <c r="B263" t="str">
        <f>"81983794612"</f>
        <v>81983794612</v>
      </c>
      <c r="C263" t="str">
        <f>"EVERYDAY COUNTER-WEDDING PKG/6-U2680"</f>
        <v>EVERYDAY COUNTER-WEDDING PKG/6-U2680</v>
      </c>
      <c r="D263" t="str">
        <f>"U2680"</f>
        <v>U2680</v>
      </c>
      <c r="E263" t="str">
        <f>"ED20C029"</f>
        <v>ED20C029</v>
      </c>
    </row>
    <row r="264" spans="1:5" x14ac:dyDescent="0.25">
      <c r="A264" t="str">
        <f>"308106"</f>
        <v>308106</v>
      </c>
      <c r="B264" t="str">
        <f>"81983771705"</f>
        <v>81983771705</v>
      </c>
      <c r="C264" t="str">
        <f>"EVERYDAY COUNTER-HUSBAND ANNIVERSARY-J9882"</f>
        <v>EVERYDAY COUNTER-HUSBAND ANNIVERSARY-J9882</v>
      </c>
      <c r="D264" t="str">
        <f>"J9882"</f>
        <v>J9882</v>
      </c>
      <c r="E264" t="str">
        <f>"ED20C030"</f>
        <v>ED20C030</v>
      </c>
    </row>
    <row r="265" spans="1:5" x14ac:dyDescent="0.25">
      <c r="A265" t="str">
        <f>"298678"</f>
        <v>298678</v>
      </c>
      <c r="B265" t="str">
        <f>"81983772726"</f>
        <v>81983772726</v>
      </c>
      <c r="C265" t="str">
        <f>"EVERYDAY COUNTER-ANNIVERSARY 50TH PKG/6 -10248"</f>
        <v>EVERYDAY COUNTER-ANNIVERSARY 50TH PKG/6 -10248</v>
      </c>
      <c r="D265" t="str">
        <f>"10248"</f>
        <v>10248</v>
      </c>
      <c r="E265" t="str">
        <f>"ED20C031"</f>
        <v>ED20C031</v>
      </c>
    </row>
    <row r="266" spans="1:5" x14ac:dyDescent="0.25">
      <c r="A266" t="str">
        <f>"308150"</f>
        <v>308150</v>
      </c>
      <c r="B266" t="str">
        <f>"81983573286"</f>
        <v>81983573286</v>
      </c>
      <c r="C266" t="str">
        <f>"EVERYDAY COUNTER-THANK YOU - FOR ANYONE-83827"</f>
        <v>EVERYDAY COUNTER-THANK YOU - FOR ANYONE-83827</v>
      </c>
      <c r="D266" t="str">
        <f>"83827"</f>
        <v>83827</v>
      </c>
      <c r="E266" t="str">
        <f>"ED20C032"</f>
        <v>ED20C032</v>
      </c>
    </row>
    <row r="267" spans="1:5" x14ac:dyDescent="0.25">
      <c r="A267" t="str">
        <f>"279462"</f>
        <v>279462</v>
      </c>
      <c r="B267" t="str">
        <f>"81983738333"</f>
        <v>81983738333</v>
      </c>
      <c r="C267" t="str">
        <f>"EVERYDAY COUNTER-BIRTHDAY PASTOR PKG/6-J5500"</f>
        <v>EVERYDAY COUNTER-BIRTHDAY PASTOR PKG/6-J5500</v>
      </c>
      <c r="D267" t="str">
        <f>"J5500"</f>
        <v>J5500</v>
      </c>
      <c r="E267" t="str">
        <f>"ED20C033"</f>
        <v>ED20C033</v>
      </c>
    </row>
    <row r="268" spans="1:5" x14ac:dyDescent="0.25">
      <c r="A268" t="str">
        <f>"308263"</f>
        <v>308263</v>
      </c>
      <c r="B268" t="str">
        <f>"81983679100"</f>
        <v>81983679100</v>
      </c>
      <c r="C268" t="str">
        <f>"EVERYDAY COUNTER-WEDDING PKG/6-92327"</f>
        <v>EVERYDAY COUNTER-WEDDING PKG/6-92327</v>
      </c>
      <c r="D268" t="str">
        <f>"92327"</f>
        <v>92327</v>
      </c>
      <c r="E268" t="str">
        <f>"ED20C034"</f>
        <v>ED20C034</v>
      </c>
    </row>
    <row r="269" spans="1:5" x14ac:dyDescent="0.25">
      <c r="A269" t="str">
        <f>"308116"</f>
        <v>308116</v>
      </c>
      <c r="B269" t="str">
        <f>"81983678615"</f>
        <v>81983678615</v>
      </c>
      <c r="C269" t="str">
        <f>"EVERYDAY COUNTER-WEDDING/JOINED TOGETHER RINGS-78842"</f>
        <v>EVERYDAY COUNTER-WEDDING/JOINED TOGETHER RINGS-78842</v>
      </c>
      <c r="D269" t="str">
        <f>"78842"</f>
        <v>78842</v>
      </c>
      <c r="E269" t="str">
        <f>"ED20C035"</f>
        <v>ED20C035</v>
      </c>
    </row>
    <row r="270" spans="1:5" x14ac:dyDescent="0.25">
      <c r="A270" t="str">
        <f>"298724"</f>
        <v>298724</v>
      </c>
      <c r="B270" t="str">
        <f>"81983772948"</f>
        <v>81983772948</v>
      </c>
      <c r="C270" t="str">
        <f>"EVERYDAY COUNTER-ANNIVERSARY-WIFE PKG/6-11518"</f>
        <v>EVERYDAY COUNTER-ANNIVERSARY-WIFE PKG/6-11518</v>
      </c>
      <c r="D270" t="str">
        <f>"11518"</f>
        <v>11518</v>
      </c>
      <c r="E270" t="str">
        <f>"ED20C036"</f>
        <v>ED20C036</v>
      </c>
    </row>
    <row r="271" spans="1:5" x14ac:dyDescent="0.25">
      <c r="A271" t="str">
        <f>"298769"</f>
        <v>298769</v>
      </c>
      <c r="B271" t="str">
        <f>"81983771729"</f>
        <v>81983771729</v>
      </c>
      <c r="C271" t="str">
        <f>"EVERYDAY COUNTER-ANN-WIFE PKG/6-J9884"</f>
        <v>EVERYDAY COUNTER-ANN-WIFE PKG/6-J9884</v>
      </c>
      <c r="D271" t="str">
        <f>"J9884"</f>
        <v>J9884</v>
      </c>
      <c r="E271" t="str">
        <f>"ED20C037"</f>
        <v>ED20C037</v>
      </c>
    </row>
    <row r="272" spans="1:5" x14ac:dyDescent="0.25">
      <c r="A272" t="str">
        <f>"298673"</f>
        <v>298673</v>
      </c>
      <c r="B272" t="str">
        <f>"81983772863"</f>
        <v>81983772863</v>
      </c>
      <c r="C272" t="str">
        <f>"EVERYDAY COUNTER-ANN HUSBAND PKG/6-10237"</f>
        <v>EVERYDAY COUNTER-ANN HUSBAND PKG/6-10237</v>
      </c>
      <c r="D272" t="str">
        <f>"10237"</f>
        <v>10237</v>
      </c>
      <c r="E272" t="str">
        <f>"ED20C038"</f>
        <v>ED20C038</v>
      </c>
    </row>
    <row r="273" spans="1:5" x14ac:dyDescent="0.25">
      <c r="A273" t="str">
        <f>"308434"</f>
        <v>308434</v>
      </c>
      <c r="B273" t="str">
        <f>"81983721540"</f>
        <v>81983721540</v>
      </c>
      <c r="C273" t="str">
        <f>"EVERYDAY COUNTER-ANNIVERSARY/WARM CONGRATS ON YOUR 50TH PKG/6-J3406"</f>
        <v>EVERYDAY COUNTER-ANNIVERSARY/WARM CONGRATS ON YOUR 50TH PKG/6-J3406</v>
      </c>
      <c r="D273" t="str">
        <f>"J3406"</f>
        <v>J3406</v>
      </c>
      <c r="E273" t="str">
        <f>"ED20C039"</f>
        <v>ED20C039</v>
      </c>
    </row>
    <row r="274" spans="1:5" x14ac:dyDescent="0.25">
      <c r="A274" t="str">
        <f>"308152"</f>
        <v>308152</v>
      </c>
      <c r="B274" t="str">
        <f>"81983772313"</f>
        <v>81983772313</v>
      </c>
      <c r="C274" t="str">
        <f>"EVERYDAY COUNTER-THANK YOU - FOR ANYONE-J9943"</f>
        <v>EVERYDAY COUNTER-THANK YOU - FOR ANYONE-J9943</v>
      </c>
      <c r="D274" t="str">
        <f>"J9943"</f>
        <v>J9943</v>
      </c>
      <c r="E274" t="str">
        <f>"ED20C040"</f>
        <v>ED20C040</v>
      </c>
    </row>
    <row r="275" spans="1:5" x14ac:dyDescent="0.25">
      <c r="A275" t="str">
        <f>"279465"</f>
        <v>279465</v>
      </c>
      <c r="B275" t="str">
        <f>"81983738364"</f>
        <v>81983738364</v>
      </c>
      <c r="C275" t="str">
        <f>"EVERYDAY COUNTER-BIRTHDAY PASTOR'S WIFE PKG/6-J5503"</f>
        <v>EVERYDAY COUNTER-BIRTHDAY PASTOR'S WIFE PKG/6-J5503</v>
      </c>
      <c r="D275" t="str">
        <f>"J5503"</f>
        <v>J5503</v>
      </c>
      <c r="E275" t="str">
        <f>"ED20C041"</f>
        <v>ED20C041</v>
      </c>
    </row>
    <row r="276" spans="1:5" x14ac:dyDescent="0.25">
      <c r="A276" t="str">
        <f>"279541"</f>
        <v>279541</v>
      </c>
      <c r="B276" t="str">
        <f>"81983774898"</f>
        <v>81983774898</v>
      </c>
      <c r="C276" t="str">
        <f>"EVERYDAY COUNTER-WEDDING PKG/6-J5563"</f>
        <v>EVERYDAY COUNTER-WEDDING PKG/6-J5563</v>
      </c>
      <c r="D276" t="str">
        <f>"J5563"</f>
        <v>J5563</v>
      </c>
      <c r="E276" t="str">
        <f>"ED20C042"</f>
        <v>ED20C042</v>
      </c>
    </row>
    <row r="277" spans="1:5" x14ac:dyDescent="0.25">
      <c r="A277" t="str">
        <f>"308236"</f>
        <v>308236</v>
      </c>
      <c r="B277" t="str">
        <f>"81983774850"</f>
        <v>81983774850</v>
      </c>
      <c r="C277" t="str">
        <f>"EVERYDAY COUNTER-WEDDING PKG/6-92024"</f>
        <v>EVERYDAY COUNTER-WEDDING PKG/6-92024</v>
      </c>
      <c r="D277" t="str">
        <f>"92024"</f>
        <v>92024</v>
      </c>
      <c r="E277" t="str">
        <f>"ED20C043"</f>
        <v>ED20C043</v>
      </c>
    </row>
    <row r="278" spans="1:5" x14ac:dyDescent="0.25">
      <c r="A278" t="str">
        <f>"308437"</f>
        <v>308437</v>
      </c>
      <c r="B278" t="str">
        <f>"81983721618"</f>
        <v>81983721618</v>
      </c>
      <c r="C278" t="str">
        <f>"EVERYDAY COUNTER-WIFE ANNIVERSARY/PINK WITH FLOWERS PKG/6-J3413"</f>
        <v>EVERYDAY COUNTER-WIFE ANNIVERSARY/PINK WITH FLOWERS PKG/6-J3413</v>
      </c>
      <c r="D278" t="str">
        <f>"J3413"</f>
        <v>J3413</v>
      </c>
      <c r="E278" t="str">
        <f>"ED20C044"</f>
        <v>ED20C044</v>
      </c>
    </row>
    <row r="279" spans="1:5" x14ac:dyDescent="0.25">
      <c r="A279" t="str">
        <f>"307928"</f>
        <v>307928</v>
      </c>
      <c r="B279" t="str">
        <f>"81983612930"</f>
        <v>81983612930</v>
      </c>
      <c r="C279" t="str">
        <f>"EVERYDAY COUNTER-ANN-WIFE pkg/4-44452"</f>
        <v>EVERYDAY COUNTER-ANN-WIFE pkg/4-44452</v>
      </c>
      <c r="D279" t="str">
        <f>"44452"</f>
        <v>44452</v>
      </c>
      <c r="E279" t="str">
        <f>"ED20C045"</f>
        <v>ED20C045</v>
      </c>
    </row>
    <row r="280" spans="1:5" x14ac:dyDescent="0.25">
      <c r="A280" t="str">
        <f>"298744"</f>
        <v>298744</v>
      </c>
      <c r="B280" t="str">
        <f>"81983771712"</f>
        <v>81983771712</v>
      </c>
      <c r="C280" t="str">
        <f>"EVERYDAY COUNTER-ANNIVERSARY-HUSBAND PKG/6-J9883"</f>
        <v>EVERYDAY COUNTER-ANNIVERSARY-HUSBAND PKG/6-J9883</v>
      </c>
      <c r="D280" t="str">
        <f>"J9883"</f>
        <v>J9883</v>
      </c>
      <c r="E280" t="str">
        <f>"ED20C046"</f>
        <v>ED20C046</v>
      </c>
    </row>
    <row r="281" spans="1:5" x14ac:dyDescent="0.25">
      <c r="A281" t="str">
        <f>"298672"</f>
        <v>298672</v>
      </c>
      <c r="B281" t="str">
        <f>"81983772733"</f>
        <v>81983772733</v>
      </c>
      <c r="C281" t="str">
        <f>"EVERYDAY COUNTER-ANNIVERSARY 50TH PKG/6-10236"</f>
        <v>EVERYDAY COUNTER-ANNIVERSARY 50TH PKG/6-10236</v>
      </c>
      <c r="D281" t="str">
        <f>"10236"</f>
        <v>10236</v>
      </c>
      <c r="E281" t="str">
        <f>"ED20C047"</f>
        <v>ED20C047</v>
      </c>
    </row>
    <row r="282" spans="1:5" x14ac:dyDescent="0.25">
      <c r="A282" t="str">
        <f>"307948"</f>
        <v>307948</v>
      </c>
      <c r="B282" t="str">
        <f>"81983584633"</f>
        <v>81983584633</v>
      </c>
      <c r="C282" t="str">
        <f>"EVERYDAY COUNTER-THANK YOU-47934"</f>
        <v>EVERYDAY COUNTER-THANK YOU-47934</v>
      </c>
      <c r="D282" t="str">
        <f>"47934"</f>
        <v>47934</v>
      </c>
      <c r="E282" t="str">
        <f>"ED20C048"</f>
        <v>ED20C048</v>
      </c>
    </row>
    <row r="283" spans="1:5" x14ac:dyDescent="0.25">
      <c r="A283" t="str">
        <f>"279464"</f>
        <v>279464</v>
      </c>
      <c r="B283" t="str">
        <f>"81983738357"</f>
        <v>81983738357</v>
      </c>
      <c r="C283" t="str">
        <f>"EVERYDAY COUNTER-BIRTHDAY PASTOR'S WIFE PKG/6-J5502"</f>
        <v>EVERYDAY COUNTER-BIRTHDAY PASTOR'S WIFE PKG/6-J5502</v>
      </c>
      <c r="D283" t="str">
        <f>"J5502"</f>
        <v>J5502</v>
      </c>
      <c r="E283" t="str">
        <f>"ED20C049"</f>
        <v>ED20C049</v>
      </c>
    </row>
    <row r="284" spans="1:5" x14ac:dyDescent="0.25">
      <c r="A284" t="str">
        <f>"308123"</f>
        <v>308123</v>
      </c>
      <c r="B284" t="str">
        <f>"81983678646"</f>
        <v>81983678646</v>
      </c>
      <c r="C284" t="str">
        <f>"EVERYDAY COUNTER-WEDDING-78872"</f>
        <v>EVERYDAY COUNTER-WEDDING-78872</v>
      </c>
      <c r="D284" t="str">
        <f>"78872"</f>
        <v>78872</v>
      </c>
      <c r="E284" t="str">
        <f>"ED20C050"</f>
        <v>ED20C050</v>
      </c>
    </row>
    <row r="285" spans="1:5" x14ac:dyDescent="0.25">
      <c r="A285" t="str">
        <f>"308122"</f>
        <v>308122</v>
      </c>
      <c r="B285" t="str">
        <f>"81983603051"</f>
        <v>81983603051</v>
      </c>
      <c r="C285" t="str">
        <f>"EVERYDAY COUNTER-WEDDING-78865"</f>
        <v>EVERYDAY COUNTER-WEDDING-78865</v>
      </c>
      <c r="D285" t="str">
        <f>"78865"</f>
        <v>78865</v>
      </c>
      <c r="E285" t="str">
        <f>"ED20C051"</f>
        <v>ED20C051</v>
      </c>
    </row>
    <row r="286" spans="1:5" x14ac:dyDescent="0.25">
      <c r="A286" t="str">
        <f>"345236"</f>
        <v>345236</v>
      </c>
      <c r="B286" t="str">
        <f>"81983793608"</f>
        <v>81983793608</v>
      </c>
      <c r="C286" t="str">
        <f>"EVERYDAY COUNTER-ANNIVERSARY PKG/6-U2576"</f>
        <v>EVERYDAY COUNTER-ANNIVERSARY PKG/6-U2576</v>
      </c>
      <c r="D286" t="str">
        <f>"U2576"</f>
        <v>U2576</v>
      </c>
      <c r="E286" t="str">
        <f>"ED20C052"</f>
        <v>ED20C052</v>
      </c>
    </row>
    <row r="287" spans="1:5" x14ac:dyDescent="0.25">
      <c r="A287" t="str">
        <f>"345235"</f>
        <v>345235</v>
      </c>
      <c r="B287" t="str">
        <f>"81983793592"</f>
        <v>81983793592</v>
      </c>
      <c r="C287" t="str">
        <f>"EVERYDAY COUNTER-ANNIVERSARY PKG/6-U2575"</f>
        <v>EVERYDAY COUNTER-ANNIVERSARY PKG/6-U2575</v>
      </c>
      <c r="D287" t="str">
        <f>"U2575"</f>
        <v>U2575</v>
      </c>
      <c r="E287" t="str">
        <f>"ED20C053"</f>
        <v>ED20C053</v>
      </c>
    </row>
    <row r="288" spans="1:5" x14ac:dyDescent="0.25">
      <c r="A288" t="str">
        <f>"298682"</f>
        <v>298682</v>
      </c>
      <c r="B288" t="str">
        <f>"81983772887"</f>
        <v>81983772887</v>
      </c>
      <c r="C288" t="str">
        <f>"EVERYDAY COUNTER-ANN HUSBAND PKG/6-10252"</f>
        <v>EVERYDAY COUNTER-ANN HUSBAND PKG/6-10252</v>
      </c>
      <c r="D288" t="str">
        <f>"10252"</f>
        <v>10252</v>
      </c>
      <c r="E288" t="str">
        <f>"ED20C054"</f>
        <v>ED20C054</v>
      </c>
    </row>
    <row r="289" spans="1:5" x14ac:dyDescent="0.25">
      <c r="A289" t="str">
        <f>"308194"</f>
        <v>308194</v>
      </c>
      <c r="B289" t="str">
        <f>"81983677045"</f>
        <v>81983677045</v>
      </c>
      <c r="C289" t="str">
        <f>"EVERYDAY COUNTER-ANNIVERSARY-25TH PKG/6-91969"</f>
        <v>EVERYDAY COUNTER-ANNIVERSARY-25TH PKG/6-91969</v>
      </c>
      <c r="D289" t="str">
        <f>"91969"</f>
        <v>91969</v>
      </c>
      <c r="E289" t="str">
        <f>"ED20C055"</f>
        <v>ED20C055</v>
      </c>
    </row>
    <row r="290" spans="1:5" x14ac:dyDescent="0.25">
      <c r="A290" t="str">
        <f>"308472"</f>
        <v>308472</v>
      </c>
      <c r="B290" t="str">
        <f>"81983722035"</f>
        <v>81983722035</v>
      </c>
      <c r="C290" t="str">
        <f>"EVERYDAY COUNTER-THANK YOU/THE THOUGHTFUL ACT OF GIVING PKG/6-J3455"</f>
        <v>EVERYDAY COUNTER-THANK YOU/THE THOUGHTFUL ACT OF GIVING PKG/6-J3455</v>
      </c>
      <c r="D290" t="str">
        <f>"J3455"</f>
        <v>J3455</v>
      </c>
      <c r="E290" t="str">
        <f>"ED20C056"</f>
        <v>ED20C056</v>
      </c>
    </row>
    <row r="291" spans="1:5" x14ac:dyDescent="0.25">
      <c r="A291" t="str">
        <f>"308184"</f>
        <v>308184</v>
      </c>
      <c r="B291" t="str">
        <f>"81983732119"</f>
        <v>81983732119</v>
      </c>
      <c r="C291" t="str">
        <f>"EVERYDAY COUNTER-GIFT CARD HOLDER-86896"</f>
        <v>EVERYDAY COUNTER-GIFT CARD HOLDER-86896</v>
      </c>
      <c r="D291" t="str">
        <f>"86896"</f>
        <v>86896</v>
      </c>
      <c r="E291" t="str">
        <f>"ED20C057"</f>
        <v>ED20C057</v>
      </c>
    </row>
    <row r="292" spans="1:5" x14ac:dyDescent="0.25">
      <c r="A292" t="str">
        <f>"279538"</f>
        <v>279538</v>
      </c>
      <c r="B292" t="str">
        <f>"81983738944"</f>
        <v>81983738944</v>
      </c>
      <c r="C292" t="str">
        <f>"EVERYDAY COUNTER-WEDDING PKG/6-J5561"</f>
        <v>EVERYDAY COUNTER-WEDDING PKG/6-J5561</v>
      </c>
      <c r="D292" t="str">
        <f>"J5561"</f>
        <v>J5561</v>
      </c>
      <c r="E292" t="str">
        <f>"ED20C058"</f>
        <v>ED20C058</v>
      </c>
    </row>
    <row r="293" spans="1:5" x14ac:dyDescent="0.25">
      <c r="A293" t="str">
        <f>"279651"</f>
        <v>279651</v>
      </c>
      <c r="B293" t="str">
        <f>"81983757884"</f>
        <v>81983757884</v>
      </c>
      <c r="C293" t="str">
        <f>"EVERYDAY COUNTER-WEDDING PKG/6-J8236"</f>
        <v>EVERYDAY COUNTER-WEDDING PKG/6-J8236</v>
      </c>
      <c r="D293" t="str">
        <f>"J8236"</f>
        <v>J8236</v>
      </c>
      <c r="E293" t="str">
        <f>"ED20C059"</f>
        <v>ED20C059</v>
      </c>
    </row>
    <row r="294" spans="1:5" x14ac:dyDescent="0.25">
      <c r="A294" t="str">
        <f>"279572"</f>
        <v>279572</v>
      </c>
      <c r="B294" t="str">
        <f>"81983757259"</f>
        <v>81983757259</v>
      </c>
      <c r="C294" t="str">
        <f>"EVERYDAY COUNTER-ANNIVERSARY-WIFE PKG/6-J8173"</f>
        <v>EVERYDAY COUNTER-ANNIVERSARY-WIFE PKG/6-J8173</v>
      </c>
      <c r="D294" t="str">
        <f>"J8173"</f>
        <v>J8173</v>
      </c>
      <c r="E294" t="str">
        <f>"ED20C060"</f>
        <v>ED20C060</v>
      </c>
    </row>
    <row r="295" spans="1:5" x14ac:dyDescent="0.25">
      <c r="A295" t="str">
        <f>"308149"</f>
        <v>308149</v>
      </c>
      <c r="B295" t="str">
        <f>"81983772931"</f>
        <v>81983772931</v>
      </c>
      <c r="C295" t="str">
        <f>"EVERYDAY COUNTER-WIFE ANNIVERSARY-83666"</f>
        <v>EVERYDAY COUNTER-WIFE ANNIVERSARY-83666</v>
      </c>
      <c r="D295" t="str">
        <f>"83666"</f>
        <v>83666</v>
      </c>
      <c r="E295" t="str">
        <f>"ED20C061"</f>
        <v>ED20C061</v>
      </c>
    </row>
    <row r="296" spans="1:5" x14ac:dyDescent="0.25">
      <c r="A296" t="str">
        <f>"307927"</f>
        <v>307927</v>
      </c>
      <c r="B296" t="str">
        <f>"81983678486"</f>
        <v>81983678486</v>
      </c>
      <c r="C296" t="str">
        <f>"EVERYDAY COUNTER-ANN-HUSBAND PKG/6-44449"</f>
        <v>EVERYDAY COUNTER-ANN-HUSBAND PKG/6-44449</v>
      </c>
      <c r="D296" t="str">
        <f>"44449"</f>
        <v>44449</v>
      </c>
      <c r="E296" t="str">
        <f>"ED20C062"</f>
        <v>ED20C062</v>
      </c>
    </row>
    <row r="297" spans="1:5" x14ac:dyDescent="0.25">
      <c r="A297" t="str">
        <f>"308195"</f>
        <v>308195</v>
      </c>
      <c r="B297" t="str">
        <f>"81983772719"</f>
        <v>81983772719</v>
      </c>
      <c r="C297" t="str">
        <f>"EVERYDAY COUNTER-ANNIVERSARY-25TH PKG/6-91970"</f>
        <v>EVERYDAY COUNTER-ANNIVERSARY-25TH PKG/6-91970</v>
      </c>
      <c r="D297" t="str">
        <f>"91970"</f>
        <v>91970</v>
      </c>
      <c r="E297" t="str">
        <f>"ED20C063"</f>
        <v>ED20C063</v>
      </c>
    </row>
    <row r="298" spans="1:5" x14ac:dyDescent="0.25">
      <c r="A298" t="str">
        <f>"308227"</f>
        <v>308227</v>
      </c>
      <c r="B298" t="str">
        <f>"81983677472"</f>
        <v>81983677472</v>
      </c>
      <c r="C298" t="str">
        <f>"EVERYDAY COUNTER-THANK YOU PKG/6-92004"</f>
        <v>EVERYDAY COUNTER-THANK YOU PKG/6-92004</v>
      </c>
      <c r="D298" t="str">
        <f>"92004"</f>
        <v>92004</v>
      </c>
      <c r="E298" t="str">
        <f>"ED20C064"</f>
        <v>ED20C064</v>
      </c>
    </row>
    <row r="299" spans="1:5" x14ac:dyDescent="0.25">
      <c r="A299" t="str">
        <f>"279682"</f>
        <v>279682</v>
      </c>
      <c r="B299" t="str">
        <f>"81983763748"</f>
        <v>81983763748</v>
      </c>
      <c r="C299" t="str">
        <f>"EVERYDAY COUNTER-BIRTHDAY BELATED PKG/6-J8985"</f>
        <v>EVERYDAY COUNTER-BIRTHDAY BELATED PKG/6-J8985</v>
      </c>
      <c r="D299" t="str">
        <f>"J8985"</f>
        <v>J8985</v>
      </c>
      <c r="E299" t="str">
        <f>"ED20C065"</f>
        <v>ED20C065</v>
      </c>
    </row>
    <row r="300" spans="1:5" x14ac:dyDescent="0.25">
      <c r="A300" t="str">
        <f>"308119"</f>
        <v>308119</v>
      </c>
      <c r="B300" t="str">
        <f>"81983678639"</f>
        <v>81983678639</v>
      </c>
      <c r="C300" t="str">
        <f>"EVERYDAY COUNTER-WEDDING-78848"</f>
        <v>EVERYDAY COUNTER-WEDDING-78848</v>
      </c>
      <c r="D300" t="str">
        <f>"78848"</f>
        <v>78848</v>
      </c>
      <c r="E300" t="str">
        <f>"ED20C066"</f>
        <v>ED20C066</v>
      </c>
    </row>
    <row r="301" spans="1:5" x14ac:dyDescent="0.25">
      <c r="A301" t="str">
        <f>"308234"</f>
        <v>308234</v>
      </c>
      <c r="B301" t="str">
        <f>"81983774836"</f>
        <v>81983774836</v>
      </c>
      <c r="C301" t="str">
        <f>"EVERYDAY COUNTER-WEDDING PKG/6-92015"</f>
        <v>EVERYDAY COUNTER-WEDDING PKG/6-92015</v>
      </c>
      <c r="D301" t="str">
        <f>"92015"</f>
        <v>92015</v>
      </c>
      <c r="E301" t="str">
        <f>"ED20C067"</f>
        <v>ED20C067</v>
      </c>
    </row>
    <row r="302" spans="1:5" x14ac:dyDescent="0.25">
      <c r="A302" t="str">
        <f>"298728"</f>
        <v>298728</v>
      </c>
      <c r="B302" t="str">
        <f>"81983771736"</f>
        <v>81983771736</v>
      </c>
      <c r="C302" t="str">
        <f>"EVERYDAY COUNTER-ANNIVERSARY-WIFE PKG/6-J9885"</f>
        <v>EVERYDAY COUNTER-ANNIVERSARY-WIFE PKG/6-J9885</v>
      </c>
      <c r="D302" t="str">
        <f>"J9885"</f>
        <v>J9885</v>
      </c>
      <c r="E302" t="str">
        <f>"ED20C068"</f>
        <v>ED20C068</v>
      </c>
    </row>
    <row r="303" spans="1:5" x14ac:dyDescent="0.25">
      <c r="A303" t="str">
        <f>"308137"</f>
        <v>308137</v>
      </c>
      <c r="B303" t="str">
        <f>"81983678653"</f>
        <v>81983678653</v>
      </c>
      <c r="C303" t="str">
        <f>"EVERYDAY COUNTER-ANNIVERSARY-WIFE/PARTNER &amp; FRIEND PKG/6-79256"</f>
        <v>EVERYDAY COUNTER-ANNIVERSARY-WIFE/PARTNER &amp; FRIEND PKG/6-79256</v>
      </c>
      <c r="D303" t="str">
        <f>"79256"</f>
        <v>79256</v>
      </c>
      <c r="E303" t="str">
        <f>"ED20C069"</f>
        <v>ED20C069</v>
      </c>
    </row>
    <row r="304" spans="1:5" x14ac:dyDescent="0.25">
      <c r="A304" t="str">
        <f>"308260"</f>
        <v>308260</v>
      </c>
      <c r="B304" t="str">
        <f>"81983679087"</f>
        <v>81983679087</v>
      </c>
      <c r="C304" t="str">
        <f>"EVERYDAY COUNTER-ANNIVERSARY - HUSBAND PKG/6-92261"</f>
        <v>EVERYDAY COUNTER-ANNIVERSARY - HUSBAND PKG/6-92261</v>
      </c>
      <c r="D304" t="str">
        <f>"92261"</f>
        <v>92261</v>
      </c>
      <c r="E304" t="str">
        <f>"ED20C070"</f>
        <v>ED20C070</v>
      </c>
    </row>
    <row r="305" spans="1:5" x14ac:dyDescent="0.25">
      <c r="A305" t="str">
        <f>"308190"</f>
        <v>308190</v>
      </c>
      <c r="B305" t="str">
        <f>"81983676994"</f>
        <v>81983676994</v>
      </c>
      <c r="C305" t="str">
        <f>"EVERYDAY COUNTER-ANNIVERSARY-10TH PKG/6-91966"</f>
        <v>EVERYDAY COUNTER-ANNIVERSARY-10TH PKG/6-91966</v>
      </c>
      <c r="D305" t="str">
        <f>"91966"</f>
        <v>91966</v>
      </c>
      <c r="E305" t="str">
        <f>"ED20C071"</f>
        <v>ED20C071</v>
      </c>
    </row>
    <row r="306" spans="1:5" x14ac:dyDescent="0.25">
      <c r="A306" t="str">
        <f>"308165"</f>
        <v>308165</v>
      </c>
      <c r="B306" t="str">
        <f>"81983589614"</f>
        <v>81983589614</v>
      </c>
      <c r="C306" t="str">
        <f>"EVERYDAY COUNTER-THANK YOU - FOR ANYONE-84018"</f>
        <v>EVERYDAY COUNTER-THANK YOU - FOR ANYONE-84018</v>
      </c>
      <c r="D306" t="str">
        <f>"84018"</f>
        <v>84018</v>
      </c>
      <c r="E306" t="str">
        <f>"ED20C072"</f>
        <v>ED20C072</v>
      </c>
    </row>
    <row r="307" spans="1:5" x14ac:dyDescent="0.25">
      <c r="A307" t="str">
        <f>"308369"</f>
        <v>308369</v>
      </c>
      <c r="B307" t="str">
        <f>"81983714795"</f>
        <v>81983714795</v>
      </c>
      <c r="C307" t="str">
        <f>"EVERYDAY COUNTER-BELATED BIRTHDAY PKG/6-J2705"</f>
        <v>EVERYDAY COUNTER-BELATED BIRTHDAY PKG/6-J2705</v>
      </c>
      <c r="D307" t="str">
        <f>"J2705"</f>
        <v>J2705</v>
      </c>
      <c r="E307" t="str">
        <f>"ED20C073"</f>
        <v>ED20C073</v>
      </c>
    </row>
    <row r="308" spans="1:5" x14ac:dyDescent="0.25">
      <c r="A308" t="str">
        <f>"298741"</f>
        <v>298741</v>
      </c>
      <c r="B308" t="str">
        <f>"81983772375"</f>
        <v>81983772375</v>
      </c>
      <c r="C308" t="str">
        <f>"EVERYDAY COUNTER-WEDDING-J9949"</f>
        <v>EVERYDAY COUNTER-WEDDING-J9949</v>
      </c>
      <c r="D308" t="str">
        <f>"J9949"</f>
        <v>J9949</v>
      </c>
      <c r="E308" t="str">
        <f>"ED20C074"</f>
        <v>ED20C074</v>
      </c>
    </row>
    <row r="309" spans="1:5" x14ac:dyDescent="0.25">
      <c r="A309" t="str">
        <f>"308235"</f>
        <v>308235</v>
      </c>
      <c r="B309" t="str">
        <f>"81983677557"</f>
        <v>81983677557</v>
      </c>
      <c r="C309" t="str">
        <f>"EVERYDAY COUNTER-WEDDING PKG/6-92018"</f>
        <v>EVERYDAY COUNTER-WEDDING PKG/6-92018</v>
      </c>
      <c r="D309" t="str">
        <f>"92018"</f>
        <v>92018</v>
      </c>
      <c r="E309" t="str">
        <f>"ED20C075"</f>
        <v>ED20C075</v>
      </c>
    </row>
    <row r="310" spans="1:5" x14ac:dyDescent="0.25">
      <c r="A310" t="str">
        <f>"345232"</f>
        <v>345232</v>
      </c>
      <c r="B310" t="str">
        <f>"81983793561"</f>
        <v>81983793561</v>
      </c>
      <c r="C310" t="str">
        <f>"EVERYDAY COUNTER-ANNIVERSARY ONE I LOVE SPOUSE PKG/6"</f>
        <v>EVERYDAY COUNTER-ANNIVERSARY ONE I LOVE SPOUSE PKG/6</v>
      </c>
      <c r="D310" t="str">
        <f>"U2572"</f>
        <v>U2572</v>
      </c>
      <c r="E310" t="str">
        <f>"ED20C076"</f>
        <v>ED20C076</v>
      </c>
    </row>
    <row r="311" spans="1:5" x14ac:dyDescent="0.25">
      <c r="A311" t="str">
        <f>"308197"</f>
        <v>308197</v>
      </c>
      <c r="B311" t="str">
        <f>"81983677083"</f>
        <v>81983677083</v>
      </c>
      <c r="C311" t="str">
        <f>"EVERYDAY COUNTER-ANNIVERSARY FOR ANYONE PKG/6-91972"</f>
        <v>EVERYDAY COUNTER-ANNIVERSARY FOR ANYONE PKG/6-91972</v>
      </c>
      <c r="D311" t="str">
        <f>"91972"</f>
        <v>91972</v>
      </c>
      <c r="E311" t="str">
        <f>"ED20C077"</f>
        <v>ED20C077</v>
      </c>
    </row>
    <row r="312" spans="1:5" x14ac:dyDescent="0.25">
      <c r="A312" t="str">
        <f>"298675"</f>
        <v>298675</v>
      </c>
      <c r="B312" t="str">
        <f>"81983772870"</f>
        <v>81983772870</v>
      </c>
      <c r="C312" t="str">
        <f>"EVERYDAY COUNTER-ANN HUSBAND PKG/6-10241"</f>
        <v>EVERYDAY COUNTER-ANN HUSBAND PKG/6-10241</v>
      </c>
      <c r="D312" t="str">
        <f>"10241"</f>
        <v>10241</v>
      </c>
      <c r="E312" t="str">
        <f>"ED20C078"</f>
        <v>ED20C078</v>
      </c>
    </row>
    <row r="313" spans="1:5" x14ac:dyDescent="0.25">
      <c r="A313" t="str">
        <f>"308191"</f>
        <v>308191</v>
      </c>
      <c r="B313" t="str">
        <f>"81983772696"</f>
        <v>81983772696</v>
      </c>
      <c r="C313" t="str">
        <f>"EVERYDAY COUNTER-ANNIVERSARY-1ST PKG/6-91967"</f>
        <v>EVERYDAY COUNTER-ANNIVERSARY-1ST PKG/6-91967</v>
      </c>
      <c r="D313" t="str">
        <f>"91967"</f>
        <v>91967</v>
      </c>
      <c r="E313" t="str">
        <f>"ED20C079"</f>
        <v>ED20C079</v>
      </c>
    </row>
    <row r="314" spans="1:5" x14ac:dyDescent="0.25">
      <c r="A314" t="str">
        <f>"401611"</f>
        <v>401611</v>
      </c>
      <c r="B314" t="str">
        <f>"81983678677"</f>
        <v>81983678677</v>
      </c>
      <c r="C314" t="str">
        <f>"EVERYDAY COUNTER-THANK YOU-82376"</f>
        <v>EVERYDAY COUNTER-THANK YOU-82376</v>
      </c>
      <c r="D314" t="str">
        <f>"82376"</f>
        <v>82376</v>
      </c>
      <c r="E314" t="str">
        <f>"ED20C080"</f>
        <v>ED20C080</v>
      </c>
    </row>
    <row r="315" spans="1:5" x14ac:dyDescent="0.25">
      <c r="A315" t="str">
        <f>"279681"</f>
        <v>279681</v>
      </c>
      <c r="B315" t="str">
        <f>"81983763731"</f>
        <v>81983763731</v>
      </c>
      <c r="C315" t="str">
        <f>"EVERYDAY COUNTER-BIRTHDAY BELATED PKG/6-J8984"</f>
        <v>EVERYDAY COUNTER-BIRTHDAY BELATED PKG/6-J8984</v>
      </c>
      <c r="D315" t="str">
        <f>"J8984"</f>
        <v>J8984</v>
      </c>
      <c r="E315" t="str">
        <f>"ED20C081"</f>
        <v>ED20C081</v>
      </c>
    </row>
    <row r="316" spans="1:5" x14ac:dyDescent="0.25">
      <c r="A316" t="str">
        <f>"279536"</f>
        <v>279536</v>
      </c>
      <c r="B316" t="str">
        <f>"81983738920"</f>
        <v>81983738920</v>
      </c>
      <c r="C316" t="str">
        <f>"EVERYDAY COUNTER-WEDDING PKG/6-J5559"</f>
        <v>EVERYDAY COUNTER-WEDDING PKG/6-J5559</v>
      </c>
      <c r="D316" t="str">
        <f>"J5559"</f>
        <v>J5559</v>
      </c>
      <c r="E316" t="str">
        <f>"ED20C082"</f>
        <v>ED20C082</v>
      </c>
    </row>
    <row r="317" spans="1:5" x14ac:dyDescent="0.25">
      <c r="A317" t="str">
        <f>"279542"</f>
        <v>279542</v>
      </c>
      <c r="B317" t="str">
        <f>"81983774812"</f>
        <v>81983774812</v>
      </c>
      <c r="C317" t="str">
        <f>"EVERYDAY COUNTER-WEDDING PKG/6-J5564"</f>
        <v>EVERYDAY COUNTER-WEDDING PKG/6-J5564</v>
      </c>
      <c r="D317" t="str">
        <f>"J5564"</f>
        <v>J5564</v>
      </c>
      <c r="E317" t="str">
        <f>"ED20C083"</f>
        <v>ED20C083</v>
      </c>
    </row>
    <row r="318" spans="1:5" x14ac:dyDescent="0.25">
      <c r="A318" t="str">
        <f>"308107"</f>
        <v>308107</v>
      </c>
      <c r="B318" t="str">
        <f>"81983644245"</f>
        <v>81983644245</v>
      </c>
      <c r="C318" t="str">
        <f>"EVERYDAY COUNTER-ONE I LOVE ANNIVERSARY-76414"</f>
        <v>EVERYDAY COUNTER-ONE I LOVE ANNIVERSARY-76414</v>
      </c>
      <c r="D318" t="str">
        <f>"76414"</f>
        <v>76414</v>
      </c>
      <c r="E318" t="str">
        <f>"ED20C084"</f>
        <v>ED20C084</v>
      </c>
    </row>
    <row r="319" spans="1:5" x14ac:dyDescent="0.25">
      <c r="A319" t="str">
        <f>"308103"</f>
        <v>308103</v>
      </c>
      <c r="B319" t="str">
        <f>"81983771675"</f>
        <v>81983771675</v>
      </c>
      <c r="C319" t="str">
        <f>"EVERYDAY COUNTER-ANNIVERSARY PKG/6-J9879"</f>
        <v>EVERYDAY COUNTER-ANNIVERSARY PKG/6-J9879</v>
      </c>
      <c r="D319" t="str">
        <f>"J9879"</f>
        <v>J9879</v>
      </c>
      <c r="E319" t="str">
        <f>"ED20C085"</f>
        <v>ED20C085</v>
      </c>
    </row>
    <row r="320" spans="1:5" x14ac:dyDescent="0.25">
      <c r="A320" t="str">
        <f>"345234"</f>
        <v>345234</v>
      </c>
      <c r="B320" t="str">
        <f>"81983793585"</f>
        <v>81983793585</v>
      </c>
      <c r="C320" t="str">
        <f>"EVERYDAY COUNTER-ANNIVERSARY-MOM/DAD PKG/6"</f>
        <v>EVERYDAY COUNTER-ANNIVERSARY-MOM/DAD PKG/6</v>
      </c>
      <c r="D320" t="str">
        <f>"U2574"</f>
        <v>U2574</v>
      </c>
      <c r="E320" t="str">
        <f>"ED20C086"</f>
        <v>ED20C086</v>
      </c>
    </row>
    <row r="321" spans="1:5" x14ac:dyDescent="0.25">
      <c r="A321" t="str">
        <f>"298707"</f>
        <v>298707</v>
      </c>
      <c r="B321" t="str">
        <f>"81983771682"</f>
        <v>81983771682</v>
      </c>
      <c r="C321" t="str">
        <f>"EVERYDAY COUNTER-ANNIVERSARY PARENTS PKG/6-J9880"</f>
        <v>EVERYDAY COUNTER-ANNIVERSARY PARENTS PKG/6-J9880</v>
      </c>
      <c r="D321" t="str">
        <f>"J9880"</f>
        <v>J9880</v>
      </c>
      <c r="E321" t="str">
        <f>"ED20C087"</f>
        <v>ED20C087</v>
      </c>
    </row>
    <row r="322" spans="1:5" x14ac:dyDescent="0.25">
      <c r="A322" t="str">
        <f>"279643"</f>
        <v>279643</v>
      </c>
      <c r="B322" t="str">
        <f>"81983774690"</f>
        <v>81983774690</v>
      </c>
      <c r="C322" t="str">
        <f>"EVERYDAY COUNTER-THANK YOU PKG/6-J8230"</f>
        <v>EVERYDAY COUNTER-THANK YOU PKG/6-J8230</v>
      </c>
      <c r="D322" t="str">
        <f>"J8230"</f>
        <v>J8230</v>
      </c>
      <c r="E322" t="str">
        <f>"ED20C088"</f>
        <v>ED20C088</v>
      </c>
    </row>
    <row r="323" spans="1:5" x14ac:dyDescent="0.25">
      <c r="A323" t="str">
        <f>"279646"</f>
        <v>279646</v>
      </c>
      <c r="B323" t="str">
        <f>"81983774720"</f>
        <v>81983774720</v>
      </c>
      <c r="C323" t="str">
        <f>"EVERYDAY COUNTER-WEDDING - SHOWER PKG/6-J8233"</f>
        <v>EVERYDAY COUNTER-WEDDING - SHOWER PKG/6-J8233</v>
      </c>
      <c r="D323" t="str">
        <f>"J8233"</f>
        <v>J8233</v>
      </c>
      <c r="E323" t="str">
        <f>"ED20C089"</f>
        <v>ED20C089</v>
      </c>
    </row>
    <row r="324" spans="1:5" x14ac:dyDescent="0.25">
      <c r="A324" t="str">
        <f>"279535"</f>
        <v>279535</v>
      </c>
      <c r="B324" t="str">
        <f>"81983738913"</f>
        <v>81983738913</v>
      </c>
      <c r="C324" t="str">
        <f>"EVERYDAY COUNTER-WEDDING PKG/6-J5558"</f>
        <v>EVERYDAY COUNTER-WEDDING PKG/6-J5558</v>
      </c>
      <c r="D324" t="str">
        <f>"J5558"</f>
        <v>J5558</v>
      </c>
      <c r="E324" t="str">
        <f>"ED20C090"</f>
        <v>ED20C090</v>
      </c>
    </row>
    <row r="325" spans="1:5" x14ac:dyDescent="0.25">
      <c r="A325" t="str">
        <f>"308240"</f>
        <v>308240</v>
      </c>
      <c r="B325" t="str">
        <f>"81983677601"</f>
        <v>81983677601</v>
      </c>
      <c r="C325" t="str">
        <f>"EVERYDAY COUNTER-WEDDING PKG/6-92030"</f>
        <v>EVERYDAY COUNTER-WEDDING PKG/6-92030</v>
      </c>
      <c r="D325" t="str">
        <f>"92030"</f>
        <v>92030</v>
      </c>
      <c r="E325" t="str">
        <f>"ED20C091"</f>
        <v>ED20C091</v>
      </c>
    </row>
    <row r="326" spans="1:5" x14ac:dyDescent="0.25">
      <c r="A326" t="str">
        <f>"345231"</f>
        <v>345231</v>
      </c>
      <c r="B326" t="str">
        <f>"81983793554"</f>
        <v>81983793554</v>
      </c>
      <c r="C326" t="str">
        <f>"EVERYDAY COUNTER-ANNIVERSARY ONE I LOVE SPOUSE PKG/6"</f>
        <v>EVERYDAY COUNTER-ANNIVERSARY ONE I LOVE SPOUSE PKG/6</v>
      </c>
      <c r="D326" t="str">
        <f>"U2571"</f>
        <v>U2571</v>
      </c>
      <c r="E326" t="str">
        <f>"ED20C092"</f>
        <v>ED20C092</v>
      </c>
    </row>
    <row r="327" spans="1:5" x14ac:dyDescent="0.25">
      <c r="A327" t="str">
        <f>"298680"</f>
        <v>298680</v>
      </c>
      <c r="B327" t="str">
        <f>"81983652011"</f>
        <v>81983652011</v>
      </c>
      <c r="C327" t="str">
        <f>"EVERYDAY COUNTER-ANN FOR ANYONE PKG/6-10250"</f>
        <v>EVERYDAY COUNTER-ANN FOR ANYONE PKG/6-10250</v>
      </c>
      <c r="D327" t="str">
        <f>"10250"</f>
        <v>10250</v>
      </c>
      <c r="E327" t="str">
        <f>"ED20C093"</f>
        <v>ED20C093</v>
      </c>
    </row>
    <row r="328" spans="1:5" x14ac:dyDescent="0.25">
      <c r="A328" t="str">
        <f>"279567"</f>
        <v>279567</v>
      </c>
      <c r="B328" t="str">
        <f>"81983757211"</f>
        <v>81983757211</v>
      </c>
      <c r="C328" t="str">
        <f>"EVERYDAY COUNTER-ANNIVERARY - SON &amp; WIFE PKG/6-J8169"</f>
        <v>EVERYDAY COUNTER-ANNIVERARY - SON &amp; WIFE PKG/6-J8169</v>
      </c>
      <c r="D328" t="str">
        <f>"J8169"</f>
        <v>J8169</v>
      </c>
      <c r="E328" t="str">
        <f>"ED20C094"</f>
        <v>ED20C094</v>
      </c>
    </row>
    <row r="329" spans="1:5" x14ac:dyDescent="0.25">
      <c r="A329" t="str">
        <f>"345233"</f>
        <v>345233</v>
      </c>
      <c r="B329" t="str">
        <f>"81983793578"</f>
        <v>81983793578</v>
      </c>
      <c r="C329" t="str">
        <f>"EVERYDAY COUNTER-ANNIVERSARY DAUGHTER/HUSBAND PKG/6"</f>
        <v>EVERYDAY COUNTER-ANNIVERSARY DAUGHTER/HUSBAND PKG/6</v>
      </c>
      <c r="D329" t="str">
        <f>"U2573"</f>
        <v>U2573</v>
      </c>
      <c r="E329" t="str">
        <f>"ED20C095"</f>
        <v>ED20C095</v>
      </c>
    </row>
    <row r="330" spans="1:5" x14ac:dyDescent="0.25">
      <c r="A330" t="str">
        <f>"308145"</f>
        <v>308145</v>
      </c>
      <c r="B330" t="str">
        <f>"81983584626"</f>
        <v>81983584626</v>
      </c>
      <c r="C330" t="str">
        <f>"EVERYDAY COUNTER-THANK YOU-82375"</f>
        <v>EVERYDAY COUNTER-THANK YOU-82375</v>
      </c>
      <c r="D330" t="str">
        <f>"82375"</f>
        <v>82375</v>
      </c>
      <c r="E330" t="str">
        <f>"ED20C096"</f>
        <v>ED20C096</v>
      </c>
    </row>
    <row r="331" spans="1:5" x14ac:dyDescent="0.25">
      <c r="A331" t="str">
        <f>"308479"</f>
        <v>308479</v>
      </c>
      <c r="B331" t="str">
        <f>"81983722172"</f>
        <v>81983722172</v>
      </c>
      <c r="C331" t="str">
        <f>"EVERYDAY COUNTER-WEDDING - BRIDAL SHOWER/A DREAM FULFILLED PKG/6-J3469"</f>
        <v>EVERYDAY COUNTER-WEDDING - BRIDAL SHOWER/A DREAM FULFILLED PKG/6-J3469</v>
      </c>
      <c r="D331" t="str">
        <f>"J3469"</f>
        <v>J3469</v>
      </c>
      <c r="E331" t="str">
        <f>"ED20C097"</f>
        <v>ED20C097</v>
      </c>
    </row>
    <row r="332" spans="1:5" x14ac:dyDescent="0.25">
      <c r="A332" t="str">
        <f>"279647"</f>
        <v>279647</v>
      </c>
      <c r="B332" t="str">
        <f>"81983757860"</f>
        <v>81983757860</v>
      </c>
      <c r="C332" t="str">
        <f>"EVERYDAY COUNTER-WEDDING-ENGAGEMENT PKG/6-J8234"</f>
        <v>EVERYDAY COUNTER-WEDDING-ENGAGEMENT PKG/6-J8234</v>
      </c>
      <c r="D332" t="str">
        <f>"J8234"</f>
        <v>J8234</v>
      </c>
      <c r="E332" t="str">
        <f>"ED20C098"</f>
        <v>ED20C098</v>
      </c>
    </row>
    <row r="333" spans="1:5" x14ac:dyDescent="0.25">
      <c r="A333" t="str">
        <f>"308238"</f>
        <v>308238</v>
      </c>
      <c r="B333" t="str">
        <f>"81983774805"</f>
        <v>81983774805</v>
      </c>
      <c r="C333" t="str">
        <f>"EVERYDAY COUNTER-WEDDING PKG/6-92026"</f>
        <v>EVERYDAY COUNTER-WEDDING PKG/6-92026</v>
      </c>
      <c r="D333" t="str">
        <f>"92026"</f>
        <v>92026</v>
      </c>
      <c r="E333" t="str">
        <f>"ED20C099"</f>
        <v>ED20C099</v>
      </c>
    </row>
    <row r="334" spans="1:5" x14ac:dyDescent="0.25">
      <c r="A334" t="str">
        <f>"298770"</f>
        <v>298770</v>
      </c>
      <c r="B334" t="str">
        <f>"81983594052"</f>
        <v>81983594052</v>
      </c>
      <c r="C334" t="str">
        <f>"EVERYDAY COUNTER-ANN-FOR ANYONE PKG/6-12033"</f>
        <v>EVERYDAY COUNTER-ANN-FOR ANYONE PKG/6-12033</v>
      </c>
      <c r="D334" t="str">
        <f>"12033"</f>
        <v>12033</v>
      </c>
      <c r="E334" t="str">
        <f>"ED20C100"</f>
        <v>ED20C100</v>
      </c>
    </row>
    <row r="335" spans="1:5" x14ac:dyDescent="0.25">
      <c r="A335" t="str">
        <f>"298705"</f>
        <v>298705</v>
      </c>
      <c r="B335" t="str">
        <f>"81983772801"</f>
        <v>81983772801</v>
      </c>
      <c r="C335" t="str">
        <f>"EVERYDAY COUNTER-ANNIVERSARY PKG/6-10284"</f>
        <v>EVERYDAY COUNTER-ANNIVERSARY PKG/6-10284</v>
      </c>
      <c r="D335" t="str">
        <f>"10284"</f>
        <v>10284</v>
      </c>
      <c r="E335" t="str">
        <f>"ED20C101"</f>
        <v>ED20C101</v>
      </c>
    </row>
    <row r="336" spans="1:5" x14ac:dyDescent="0.25">
      <c r="A336" t="str">
        <f>"308139"</f>
        <v>308139</v>
      </c>
      <c r="B336" t="str">
        <f>"81983582837"</f>
        <v>81983582837</v>
      </c>
      <c r="C336" t="str">
        <f>"EVERYDAY COUNTER-ANNIVERSARY/BLESSINGS OF LOVE PKG/6-81735"</f>
        <v>EVERYDAY COUNTER-ANNIVERSARY/BLESSINGS OF LOVE PKG/6-81735</v>
      </c>
      <c r="D336" t="str">
        <f>"81735"</f>
        <v>81735</v>
      </c>
      <c r="E336" t="str">
        <f>"ED20C102"</f>
        <v>ED20C102</v>
      </c>
    </row>
    <row r="337" spans="1:5" x14ac:dyDescent="0.25">
      <c r="A337" t="str">
        <f>"308266"</f>
        <v>308266</v>
      </c>
      <c r="B337" t="str">
        <f>"81983612442"</f>
        <v>81983612442</v>
      </c>
      <c r="C337" t="str">
        <f>"EVERYDAY COUNTER-THANK YOU-FOR ANYONE-44123"</f>
        <v>EVERYDAY COUNTER-THANK YOU-FOR ANYONE-44123</v>
      </c>
      <c r="D337" t="str">
        <f>"44123"</f>
        <v>44123</v>
      </c>
      <c r="E337" t="str">
        <f>"ED20C103"</f>
        <v>ED20C103</v>
      </c>
    </row>
    <row r="338" spans="1:5" x14ac:dyDescent="0.25">
      <c r="A338" t="str">
        <f>"308115"</f>
        <v>308115</v>
      </c>
      <c r="B338" t="str">
        <f>"81983584640"</f>
        <v>81983584640</v>
      </c>
      <c r="C338" t="str">
        <f>"EVERYDAY COUNTER-THANK YOU-78829"</f>
        <v>EVERYDAY COUNTER-THANK YOU-78829</v>
      </c>
      <c r="D338" t="str">
        <f>"78829"</f>
        <v>78829</v>
      </c>
      <c r="E338" t="str">
        <f>"ED20C104"</f>
        <v>ED20C104</v>
      </c>
    </row>
    <row r="339" spans="1:5" x14ac:dyDescent="0.25">
      <c r="A339" t="str">
        <f>"401605"</f>
        <v>401605</v>
      </c>
      <c r="B339" t="str">
        <f>"81983772399"</f>
        <v>81983772399</v>
      </c>
      <c r="C339" t="str">
        <f>"EVERYDAY COUNTER-WEDDING-THANK YOU-J9951"</f>
        <v>EVERYDAY COUNTER-WEDDING-THANK YOU-J9951</v>
      </c>
      <c r="D339" t="str">
        <f>"J9951"</f>
        <v>J9951</v>
      </c>
      <c r="E339" t="str">
        <f>"ED20C105"</f>
        <v>ED20C105</v>
      </c>
    </row>
    <row r="340" spans="1:5" x14ac:dyDescent="0.25">
      <c r="A340" t="str">
        <f>"298713"</f>
        <v>298713</v>
      </c>
      <c r="B340" t="str">
        <f>"81983772344"</f>
        <v>81983772344</v>
      </c>
      <c r="C340" t="str">
        <f>"EVERYDAY COUNTER-WEDDING ENGAGEMENT PKG/6-J9946"</f>
        <v>EVERYDAY COUNTER-WEDDING ENGAGEMENT PKG/6-J9946</v>
      </c>
      <c r="D340" t="str">
        <f>"J9946"</f>
        <v>J9946</v>
      </c>
      <c r="E340" t="str">
        <f>"ED20C106"</f>
        <v>ED20C106</v>
      </c>
    </row>
    <row r="341" spans="1:5" x14ac:dyDescent="0.25">
      <c r="A341" t="str">
        <f>"345269"</f>
        <v>345269</v>
      </c>
      <c r="B341" t="str">
        <f>"81983793882"</f>
        <v>81983793882</v>
      </c>
      <c r="C341" t="str">
        <f>"EVERYDAY COUNTER-WEDDING/WIFE PKG/6"</f>
        <v>EVERYDAY COUNTER-WEDDING/WIFE PKG/6</v>
      </c>
      <c r="D341" t="str">
        <f>"U2604"</f>
        <v>U2604</v>
      </c>
      <c r="E341" t="str">
        <f>"ED20C107"</f>
        <v>ED20C107</v>
      </c>
    </row>
    <row r="342" spans="1:5" x14ac:dyDescent="0.25">
      <c r="A342" t="str">
        <f>"345268"</f>
        <v>345268</v>
      </c>
      <c r="B342" t="str">
        <f>"81983793875"</f>
        <v>81983793875</v>
      </c>
      <c r="C342" t="str">
        <f>"EVERYDAY COUNTER-WEDDING/HUSBAND PKG/6"</f>
        <v>EVERYDAY COUNTER-WEDDING/HUSBAND PKG/6</v>
      </c>
      <c r="D342" t="str">
        <f>"U2603"</f>
        <v>U2603</v>
      </c>
      <c r="E342" t="str">
        <f>"ED20C108"</f>
        <v>ED20C108</v>
      </c>
    </row>
    <row r="343" spans="1:5" x14ac:dyDescent="0.25">
      <c r="A343" t="str">
        <f>"308104"</f>
        <v>308104</v>
      </c>
      <c r="B343" t="str">
        <f>"81983771668"</f>
        <v>81983771668</v>
      </c>
      <c r="C343" t="str">
        <f>"EVERYDAY COUNTER-ON YOUR ANNIVERSARY-J9878"</f>
        <v>EVERYDAY COUNTER-ON YOUR ANNIVERSARY-J9878</v>
      </c>
      <c r="D343" t="str">
        <f>"J9878"</f>
        <v>J9878</v>
      </c>
      <c r="E343" t="str">
        <f>"ED20C109"</f>
        <v>ED20C109</v>
      </c>
    </row>
    <row r="344" spans="1:5" x14ac:dyDescent="0.25">
      <c r="A344" t="str">
        <f>"298704"</f>
        <v>298704</v>
      </c>
      <c r="B344" t="str">
        <f>"81983652455"</f>
        <v>81983652455</v>
      </c>
      <c r="C344" t="str">
        <f>"EVERYDAY COUNTER-ANNIVERSARY PKG/6-10283"</f>
        <v>EVERYDAY COUNTER-ANNIVERSARY PKG/6-10283</v>
      </c>
      <c r="D344" t="str">
        <f>"10283"</f>
        <v>10283</v>
      </c>
      <c r="E344" t="str">
        <f>"ED20C110"</f>
        <v>ED20C110</v>
      </c>
    </row>
    <row r="345" spans="1:5" x14ac:dyDescent="0.25">
      <c r="A345" t="str">
        <f>"308466"</f>
        <v>308466</v>
      </c>
      <c r="B345" t="str">
        <f>"81983721984"</f>
        <v>81983721984</v>
      </c>
      <c r="C345" t="str">
        <f>"EVERYDAY COUNTER-THANK YOU/WITH APPRECIATION PKG/6-J3450"</f>
        <v>EVERYDAY COUNTER-THANK YOU/WITH APPRECIATION PKG/6-J3450</v>
      </c>
      <c r="D345" t="str">
        <f>"J3450"</f>
        <v>J3450</v>
      </c>
      <c r="E345" t="str">
        <f>"ED20C111"</f>
        <v>ED20C111</v>
      </c>
    </row>
    <row r="346" spans="1:5" x14ac:dyDescent="0.25">
      <c r="A346" t="str">
        <f>"308154"</f>
        <v>308154</v>
      </c>
      <c r="B346" t="str">
        <f>"81983573330"</f>
        <v>81983573330</v>
      </c>
      <c r="C346" t="str">
        <f>"EVERYDAY COUNTER-THANK YOU - FOR ANYONE-83838"</f>
        <v>EVERYDAY COUNTER-THANK YOU - FOR ANYONE-83838</v>
      </c>
      <c r="D346" t="str">
        <f>"83838"</f>
        <v>83838</v>
      </c>
      <c r="E346" t="str">
        <f>"ED20C112"</f>
        <v>ED20C112</v>
      </c>
    </row>
    <row r="347" spans="1:5" x14ac:dyDescent="0.25">
      <c r="A347" t="str">
        <f>"308474"</f>
        <v>308474</v>
      </c>
      <c r="B347" t="str">
        <f>"81983722059"</f>
        <v>81983722059</v>
      </c>
      <c r="C347" t="str">
        <f>"EVERYDAY COUNTER-THANK YOU/LOOK WHO'S BEEN A BLESSING PKG/6-J3457"</f>
        <v>EVERYDAY COUNTER-THANK YOU/LOOK WHO'S BEEN A BLESSING PKG/6-J3457</v>
      </c>
      <c r="D347" t="str">
        <f>"J3457"</f>
        <v>J3457</v>
      </c>
      <c r="E347" t="str">
        <f>"ED20C113"</f>
        <v>ED20C113</v>
      </c>
    </row>
    <row r="348" spans="1:5" x14ac:dyDescent="0.25">
      <c r="A348" t="str">
        <f>"298702"</f>
        <v>298702</v>
      </c>
      <c r="B348" t="str">
        <f>"81983652417"</f>
        <v>81983652417</v>
      </c>
      <c r="C348" t="str">
        <f>"EVERYDAY COUNTER-THANK YOU CLERGY PKG/6-10280"</f>
        <v>EVERYDAY COUNTER-THANK YOU CLERGY PKG/6-10280</v>
      </c>
      <c r="D348" t="str">
        <f>"10280"</f>
        <v>10280</v>
      </c>
      <c r="E348" t="str">
        <f>"ED20D001"</f>
        <v>ED20D001</v>
      </c>
    </row>
    <row r="349" spans="1:5" x14ac:dyDescent="0.25">
      <c r="A349" t="str">
        <f>"298760"</f>
        <v>298760</v>
      </c>
      <c r="B349" t="str">
        <f>"81983771750"</f>
        <v>81983771750</v>
      </c>
      <c r="C349" t="str">
        <f>"EVERYDAY COUNTER-BABY CONGRATS-GIRL PKG/6-J9887"</f>
        <v>EVERYDAY COUNTER-BABY CONGRATS-GIRL PKG/6-J9887</v>
      </c>
      <c r="D349" t="str">
        <f>"J9887"</f>
        <v>J9887</v>
      </c>
      <c r="E349" t="str">
        <f>"ED20D002"</f>
        <v>ED20D002</v>
      </c>
    </row>
    <row r="350" spans="1:5" x14ac:dyDescent="0.25">
      <c r="A350" t="str">
        <f>"308108"</f>
        <v>308108</v>
      </c>
      <c r="B350" t="str">
        <f>"81983771781"</f>
        <v>81983771781</v>
      </c>
      <c r="C350" t="str">
        <f>"EVERYDAY COUNTER-CONGRATS-J9890"</f>
        <v>EVERYDAY COUNTER-CONGRATS-J9890</v>
      </c>
      <c r="D350" t="str">
        <f>"J9890"</f>
        <v>J9890</v>
      </c>
      <c r="E350" t="str">
        <f>"ED20D003"</f>
        <v>ED20D003</v>
      </c>
    </row>
    <row r="351" spans="1:5" x14ac:dyDescent="0.25">
      <c r="A351" t="str">
        <f>"374842"</f>
        <v>374842</v>
      </c>
      <c r="B351" t="str">
        <f>"081983789069"</f>
        <v>081983789069</v>
      </c>
      <c r="C351" t="str">
        <f>"EVERYDAY COUNTER-CONGRATULATIONS-PREMIUM PKG/2"</f>
        <v>EVERYDAY COUNTER-CONGRATULATIONS-PREMIUM PKG/2</v>
      </c>
      <c r="D351" t="str">
        <f>"U1992"</f>
        <v>U1992</v>
      </c>
      <c r="E351" t="str">
        <f>"ED20D004"</f>
        <v>ED20D004</v>
      </c>
    </row>
    <row r="352" spans="1:5" x14ac:dyDescent="0.25">
      <c r="A352" t="str">
        <f>"345230"</f>
        <v>345230</v>
      </c>
      <c r="B352" t="str">
        <f>"81983789052"</f>
        <v>81983789052</v>
      </c>
      <c r="C352" t="str">
        <f>"EVERYDAY COUNTER-CONGRATULATIONS-PREMIUM PKG/2"</f>
        <v>EVERYDAY COUNTER-CONGRATULATIONS-PREMIUM PKG/2</v>
      </c>
      <c r="D352" t="str">
        <f>"U1991"</f>
        <v>U1991</v>
      </c>
      <c r="E352" t="str">
        <f>"ED20D005"</f>
        <v>ED20D005</v>
      </c>
    </row>
    <row r="353" spans="1:5" x14ac:dyDescent="0.25">
      <c r="A353" t="str">
        <f>"308219"</f>
        <v>308219</v>
      </c>
      <c r="B353" t="str">
        <f>"81983677410"</f>
        <v>81983677410</v>
      </c>
      <c r="C353" t="str">
        <f>"EVERYDAY COUNTER-ADULT BAPTISM PKG/6-91998"</f>
        <v>EVERYDAY COUNTER-ADULT BAPTISM PKG/6-91998</v>
      </c>
      <c r="D353" t="str">
        <f>"91998"</f>
        <v>91998</v>
      </c>
      <c r="E353" t="str">
        <f>"ED20D006"</f>
        <v>ED20D006</v>
      </c>
    </row>
    <row r="354" spans="1:5" x14ac:dyDescent="0.25">
      <c r="A354" t="str">
        <f>"308038"</f>
        <v>308038</v>
      </c>
      <c r="B354" t="str">
        <f>"81983643033"</f>
        <v>81983643033</v>
      </c>
      <c r="C354" t="str">
        <f>"EVERYDAY COUNTER-FRIENDSHIP-72708"</f>
        <v>EVERYDAY COUNTER-FRIENDSHIP-72708</v>
      </c>
      <c r="D354" t="str">
        <f>"72708"</f>
        <v>72708</v>
      </c>
      <c r="E354" t="str">
        <f>"ED20D007"</f>
        <v>ED20D007</v>
      </c>
    </row>
    <row r="355" spans="1:5" x14ac:dyDescent="0.25">
      <c r="A355" t="str">
        <f>"307996"</f>
        <v>307996</v>
      </c>
      <c r="B355" t="str">
        <f>"81983618956"</f>
        <v>81983618956</v>
      </c>
      <c r="C355" t="str">
        <f>"EVERYDAY COUNTER-ENC-I CAN RELATE-55900"</f>
        <v>EVERYDAY COUNTER-ENC-I CAN RELATE-55900</v>
      </c>
      <c r="D355" t="str">
        <f>"55900"</f>
        <v>55900</v>
      </c>
      <c r="E355" t="str">
        <f>"ED20D008"</f>
        <v>ED20D008</v>
      </c>
    </row>
    <row r="356" spans="1:5" x14ac:dyDescent="0.25">
      <c r="A356" t="str">
        <f>"279635"</f>
        <v>279635</v>
      </c>
      <c r="B356" t="str">
        <f>"81983757761"</f>
        <v>81983757761</v>
      </c>
      <c r="C356" t="str">
        <f>"EVERYDAY COUNTER-THANK YOU CLERGY PKG/6-J8224"</f>
        <v>EVERYDAY COUNTER-THANK YOU CLERGY PKG/6-J8224</v>
      </c>
      <c r="D356" t="str">
        <f>"J8224"</f>
        <v>J8224</v>
      </c>
      <c r="E356" t="str">
        <f>"ED20D009"</f>
        <v>ED20D009</v>
      </c>
    </row>
    <row r="357" spans="1:5" x14ac:dyDescent="0.25">
      <c r="A357" t="str">
        <f>"308007"</f>
        <v>308007</v>
      </c>
      <c r="B357" t="str">
        <f>"81983619038"</f>
        <v>81983619038</v>
      </c>
      <c r="C357" t="str">
        <f>"EVERYDAY COUNTER-CONGRATS-BABY GIRL-55908"</f>
        <v>EVERYDAY COUNTER-CONGRATS-BABY GIRL-55908</v>
      </c>
      <c r="D357" t="str">
        <f>"55908"</f>
        <v>55908</v>
      </c>
      <c r="E357" t="str">
        <f>"ED20D010"</f>
        <v>ED20D010</v>
      </c>
    </row>
    <row r="358" spans="1:5" x14ac:dyDescent="0.25">
      <c r="A358" t="str">
        <f>"345238"</f>
        <v>345238</v>
      </c>
      <c r="B358" t="str">
        <f>"81983793615"</f>
        <v>81983793615</v>
      </c>
      <c r="C358" t="str">
        <f>"EVERYDAY COUNTER-CONGRATULATIONS PKG/6-U2577"</f>
        <v>EVERYDAY COUNTER-CONGRATULATIONS PKG/6-U2577</v>
      </c>
      <c r="D358" t="str">
        <f>"U2577"</f>
        <v>U2577</v>
      </c>
      <c r="E358" t="str">
        <f>"ED20D011"</f>
        <v>ED20D011</v>
      </c>
    </row>
    <row r="359" spans="1:5" x14ac:dyDescent="0.25">
      <c r="A359" t="str">
        <f>"345273"</f>
        <v>345273</v>
      </c>
      <c r="B359" t="str">
        <f>"81983794605"</f>
        <v>81983794605</v>
      </c>
      <c r="C359" t="str">
        <f>"EVERYDAY COUNTER-CONGRATULATIONS GRADUATE PKG/6"</f>
        <v>EVERYDAY COUNTER-CONGRATULATIONS GRADUATE PKG/6</v>
      </c>
      <c r="D359" t="str">
        <f>"U2679"</f>
        <v>U2679</v>
      </c>
      <c r="E359" t="str">
        <f>"ED20D012"</f>
        <v>ED20D012</v>
      </c>
    </row>
    <row r="360" spans="1:5" x14ac:dyDescent="0.25">
      <c r="A360" t="str">
        <f>"345228"</f>
        <v>345228</v>
      </c>
      <c r="B360" t="str">
        <f>"81983789045"</f>
        <v>81983789045</v>
      </c>
      <c r="C360" t="str">
        <f>"EVERYDAY COUNTER-CONGRATULATIONS-PREMIUM PKG/2"</f>
        <v>EVERYDAY COUNTER-CONGRATULATIONS-PREMIUM PKG/2</v>
      </c>
      <c r="D360" t="str">
        <f>"U1990"</f>
        <v>U1990</v>
      </c>
      <c r="E360" t="str">
        <f>"ED20D013"</f>
        <v>ED20D013</v>
      </c>
    </row>
    <row r="361" spans="1:5" x14ac:dyDescent="0.25">
      <c r="A361" t="str">
        <f>"308244"</f>
        <v>308244</v>
      </c>
      <c r="B361" t="str">
        <f>"81983678882"</f>
        <v>81983678882</v>
      </c>
      <c r="C361" t="str">
        <f>"EVERYDAY COUNTER-BAPTISM PKG/6-92185"</f>
        <v>EVERYDAY COUNTER-BAPTISM PKG/6-92185</v>
      </c>
      <c r="D361" t="str">
        <f>"92185"</f>
        <v>92185</v>
      </c>
      <c r="E361" t="str">
        <f>"ED20D014"</f>
        <v>ED20D014</v>
      </c>
    </row>
    <row r="362" spans="1:5" x14ac:dyDescent="0.25">
      <c r="A362" t="str">
        <f>"279591"</f>
        <v>279591</v>
      </c>
      <c r="B362" t="str">
        <f>"81983757426"</f>
        <v>81983757426</v>
      </c>
      <c r="C362" t="str">
        <f>"EVERYDAY COUNTER-FRIENDSHIP PKG/6-J8190"</f>
        <v>EVERYDAY COUNTER-FRIENDSHIP PKG/6-J8190</v>
      </c>
      <c r="D362" t="str">
        <f>"J8190"</f>
        <v>J8190</v>
      </c>
      <c r="E362" t="str">
        <f>"ED20D015"</f>
        <v>ED20D015</v>
      </c>
    </row>
    <row r="363" spans="1:5" x14ac:dyDescent="0.25">
      <c r="A363" t="str">
        <f>"308000"</f>
        <v>308000</v>
      </c>
      <c r="B363" t="str">
        <f>"81983618970"</f>
        <v>81983618970</v>
      </c>
      <c r="C363" t="str">
        <f>"EVERYDAY COUNTER-ENC-I CAN RELATE-55902"</f>
        <v>EVERYDAY COUNTER-ENC-I CAN RELATE-55902</v>
      </c>
      <c r="D363" t="str">
        <f>"55902"</f>
        <v>55902</v>
      </c>
      <c r="E363" t="str">
        <f>"ED20D016"</f>
        <v>ED20D016</v>
      </c>
    </row>
    <row r="364" spans="1:5" x14ac:dyDescent="0.25">
      <c r="A364" t="str">
        <f>"308475"</f>
        <v>308475</v>
      </c>
      <c r="B364" t="str">
        <f>"81983722141"</f>
        <v>81983722141</v>
      </c>
      <c r="C364" t="str">
        <f>"EVERYDAY COUNTER-THANK YOU -PASTOR/YOU'RE AN INSPIRATION PKG/6-J3466"</f>
        <v>EVERYDAY COUNTER-THANK YOU -PASTOR/YOU'RE AN INSPIRATION PKG/6-J3466</v>
      </c>
      <c r="D364" t="str">
        <f>"J3466"</f>
        <v>J3466</v>
      </c>
      <c r="E364" t="str">
        <f>"ED20D017"</f>
        <v>ED20D017</v>
      </c>
    </row>
    <row r="365" spans="1:5" x14ac:dyDescent="0.25">
      <c r="A365" t="str">
        <f>"279576"</f>
        <v>279576</v>
      </c>
      <c r="B365" t="str">
        <f>"81983757297"</f>
        <v>81983757297</v>
      </c>
      <c r="C365" t="str">
        <f>"EVERYDAY COUNTER-BABY CONGRATS GIRL PKG/6-J8177"</f>
        <v>EVERYDAY COUNTER-BABY CONGRATS GIRL PKG/6-J8177</v>
      </c>
      <c r="D365" t="str">
        <f>"J8177"</f>
        <v>J8177</v>
      </c>
      <c r="E365" t="str">
        <f>"ED20D018"</f>
        <v>ED20D018</v>
      </c>
    </row>
    <row r="366" spans="1:5" x14ac:dyDescent="0.25">
      <c r="A366" t="str">
        <f>"298718"</f>
        <v>298718</v>
      </c>
      <c r="B366" t="str">
        <f>"81983771798"</f>
        <v>81983771798</v>
      </c>
      <c r="C366" t="str">
        <f>"EVERYDAY COUNTER-CONGRATS-FOR ANYONE-J9891"</f>
        <v>EVERYDAY COUNTER-CONGRATS-FOR ANYONE-J9891</v>
      </c>
      <c r="D366" t="str">
        <f>"J9891"</f>
        <v>J9891</v>
      </c>
      <c r="E366" t="str">
        <f>"ED20D019"</f>
        <v>ED20D019</v>
      </c>
    </row>
    <row r="367" spans="1:5" x14ac:dyDescent="0.25">
      <c r="A367" t="str">
        <f>"345272"</f>
        <v>345272</v>
      </c>
      <c r="B367" t="str">
        <f>"81983794599"</f>
        <v>81983794599</v>
      </c>
      <c r="C367" t="str">
        <f>"EVERYDAY COUNTER-CONGRATULATIONS GRADUATE PKG/6"</f>
        <v>EVERYDAY COUNTER-CONGRATULATIONS GRADUATE PKG/6</v>
      </c>
      <c r="D367" t="str">
        <f>"U2678"</f>
        <v>U2678</v>
      </c>
      <c r="E367" t="str">
        <f>"ED20D020"</f>
        <v>ED20D020</v>
      </c>
    </row>
    <row r="368" spans="1:5" x14ac:dyDescent="0.25">
      <c r="A368" t="str">
        <f>"345271"</f>
        <v>345271</v>
      </c>
      <c r="B368" t="str">
        <f>"81983794582"</f>
        <v>81983794582</v>
      </c>
      <c r="C368" t="str">
        <f>"EVERYDAY COUNTER-CONGRATULATIONS/BABY SHOWER PKG/6"</f>
        <v>EVERYDAY COUNTER-CONGRATULATIONS/BABY SHOWER PKG/6</v>
      </c>
      <c r="D368" t="str">
        <f>"U2677"</f>
        <v>U2677</v>
      </c>
      <c r="E368" t="str">
        <f>"ED20D021"</f>
        <v>ED20D021</v>
      </c>
    </row>
    <row r="369" spans="1:5" x14ac:dyDescent="0.25">
      <c r="A369" t="str">
        <f>"279609"</f>
        <v>279609</v>
      </c>
      <c r="B369" t="str">
        <f>"81983757556"</f>
        <v>81983757556</v>
      </c>
      <c r="C369" t="str">
        <f>"EVERYDAY COUNTER-SPIRITUAL OCC BAPTISM ADULT PKG/6-J8203"</f>
        <v>EVERYDAY COUNTER-SPIRITUAL OCC BAPTISM ADULT PKG/6-J8203</v>
      </c>
      <c r="D369" t="str">
        <f>"J8203"</f>
        <v>J8203</v>
      </c>
      <c r="E369" t="str">
        <f>"ED20D022"</f>
        <v>ED20D022</v>
      </c>
    </row>
    <row r="370" spans="1:5" x14ac:dyDescent="0.25">
      <c r="A370" t="str">
        <f>"307910"</f>
        <v>307910</v>
      </c>
      <c r="B370" t="str">
        <f>"81983771972"</f>
        <v>81983771972</v>
      </c>
      <c r="C370" t="str">
        <f>"EVERYDAY COUNTER-FRIENDSHIP-FOR ANYONE-J9909"</f>
        <v>EVERYDAY COUNTER-FRIENDSHIP-FOR ANYONE-J9909</v>
      </c>
      <c r="D370" t="str">
        <f>"J9909"</f>
        <v>J9909</v>
      </c>
      <c r="E370" t="str">
        <f>"ED20D023"</f>
        <v>ED20D023</v>
      </c>
    </row>
    <row r="371" spans="1:5" x14ac:dyDescent="0.25">
      <c r="A371" t="str">
        <f>"307906"</f>
        <v>307906</v>
      </c>
      <c r="B371" t="str">
        <f>"81983612619"</f>
        <v>81983612619</v>
      </c>
      <c r="C371" t="str">
        <f>"EVERYDAY COUNTER-ENC-I CAN RELATE-44153"</f>
        <v>EVERYDAY COUNTER-ENC-I CAN RELATE-44153</v>
      </c>
      <c r="D371" t="str">
        <f>"44153"</f>
        <v>44153</v>
      </c>
      <c r="E371" t="str">
        <f>"ED20D024"</f>
        <v>ED20D024</v>
      </c>
    </row>
    <row r="372" spans="1:5" x14ac:dyDescent="0.25">
      <c r="A372" t="str">
        <f>"308478"</f>
        <v>308478</v>
      </c>
      <c r="B372" t="str">
        <f>"81983722165"</f>
        <v>81983722165</v>
      </c>
      <c r="C372" t="str">
        <f>"EVERYDAY COUNTER-MINISTRY APPRECIATION/OPEN HANDS PKG/6-J3468"</f>
        <v>EVERYDAY COUNTER-MINISTRY APPRECIATION/OPEN HANDS PKG/6-J3468</v>
      </c>
      <c r="D372" t="str">
        <f>"J3468"</f>
        <v>J3468</v>
      </c>
      <c r="E372" t="str">
        <f>"ED20D025"</f>
        <v>ED20D025</v>
      </c>
    </row>
    <row r="373" spans="1:5" x14ac:dyDescent="0.25">
      <c r="A373" t="str">
        <f>"308083"</f>
        <v>308083</v>
      </c>
      <c r="B373" t="str">
        <f>"81983567612"</f>
        <v>81983567612</v>
      </c>
      <c r="C373" t="str">
        <f>"EVERYDAY COUNTER-BABY CONGRATS GIRL PKG/6-75238"</f>
        <v>EVERYDAY COUNTER-BABY CONGRATS GIRL PKG/6-75238</v>
      </c>
      <c r="D373" t="str">
        <f>"75238"</f>
        <v>75238</v>
      </c>
      <c r="E373" t="str">
        <f>"ED20D026"</f>
        <v>ED20D026</v>
      </c>
    </row>
    <row r="374" spans="1:5" x14ac:dyDescent="0.25">
      <c r="A374" t="str">
        <f>"298768"</f>
        <v>298768</v>
      </c>
      <c r="B374" t="str">
        <f>"81983593963"</f>
        <v>81983593963</v>
      </c>
      <c r="C374" t="str">
        <f>"EVERYDAY COUNTER-CONGRATS-FOR ANYONE-11800"</f>
        <v>EVERYDAY COUNTER-CONGRATS-FOR ANYONE-11800</v>
      </c>
      <c r="D374" t="str">
        <f>"11800"</f>
        <v>11800</v>
      </c>
      <c r="E374" t="str">
        <f>"ED20D027"</f>
        <v>ED20D027</v>
      </c>
    </row>
    <row r="375" spans="1:5" x14ac:dyDescent="0.25">
      <c r="A375" t="str">
        <f>"345227"</f>
        <v>345227</v>
      </c>
      <c r="B375" t="str">
        <f>"81983789038"</f>
        <v>81983789038</v>
      </c>
      <c r="C375" t="str">
        <f>"EVERYDAY COUNTER-BABY CONGRATS-PREMIUM PKG/2"</f>
        <v>EVERYDAY COUNTER-BABY CONGRATS-PREMIUM PKG/2</v>
      </c>
      <c r="D375" t="str">
        <f>"U1989"</f>
        <v>U1989</v>
      </c>
      <c r="E375" t="str">
        <f>"ED20D028"</f>
        <v>ED20D028</v>
      </c>
    </row>
    <row r="376" spans="1:5" x14ac:dyDescent="0.25">
      <c r="A376" t="str">
        <f>"345270"</f>
        <v>345270</v>
      </c>
      <c r="B376" t="str">
        <f>"81983794575"</f>
        <v>81983794575</v>
      </c>
      <c r="C376" t="str">
        <f>"EVERYDAY COUNTER-CONGRATULATIONS BABY PKG/6"</f>
        <v>EVERYDAY COUNTER-CONGRATULATIONS BABY PKG/6</v>
      </c>
      <c r="D376" t="str">
        <f>"U2676"</f>
        <v>U2676</v>
      </c>
      <c r="E376" t="str">
        <f>"ED20D029"</f>
        <v>ED20D029</v>
      </c>
    </row>
    <row r="377" spans="1:5" x14ac:dyDescent="0.25">
      <c r="A377" t="str">
        <f>"308042"</f>
        <v>308042</v>
      </c>
      <c r="B377" t="str">
        <f>"81983643071"</f>
        <v>81983643071</v>
      </c>
      <c r="C377" t="str">
        <f>"EVERYDAY COUNTER-ADULT BAPTISM PKG/6-72715"</f>
        <v>EVERYDAY COUNTER-ADULT BAPTISM PKG/6-72715</v>
      </c>
      <c r="D377" t="str">
        <f>"72715"</f>
        <v>72715</v>
      </c>
      <c r="E377" t="str">
        <f>"ED20D030"</f>
        <v>ED20D030</v>
      </c>
    </row>
    <row r="378" spans="1:5" x14ac:dyDescent="0.25">
      <c r="A378" t="str">
        <f>"308213"</f>
        <v>308213</v>
      </c>
      <c r="B378" t="str">
        <f>"81983677359"</f>
        <v>81983677359</v>
      </c>
      <c r="C378" t="str">
        <f>"EVERYDAY COUNTER-FRIENDSHIP PKG/6-91992"</f>
        <v>EVERYDAY COUNTER-FRIENDSHIP PKG/6-91992</v>
      </c>
      <c r="D378" t="str">
        <f>"91992"</f>
        <v>91992</v>
      </c>
      <c r="E378" t="str">
        <f>"ED20D031"</f>
        <v>ED20D031</v>
      </c>
    </row>
    <row r="379" spans="1:5" x14ac:dyDescent="0.25">
      <c r="A379" t="str">
        <f>"345242"</f>
        <v>345242</v>
      </c>
      <c r="B379" t="str">
        <f>"81983793653"</f>
        <v>81983793653</v>
      </c>
      <c r="C379" t="str">
        <f>"EVERYDAY COUNTER-ENCOURAGEMENT PKG/6-U2581"</f>
        <v>EVERYDAY COUNTER-ENCOURAGEMENT PKG/6-U2581</v>
      </c>
      <c r="D379" t="str">
        <f>"U2581"</f>
        <v>U2581</v>
      </c>
      <c r="E379" t="str">
        <f>"ED20D032"</f>
        <v>ED20D032</v>
      </c>
    </row>
    <row r="380" spans="1:5" x14ac:dyDescent="0.25">
      <c r="A380" t="str">
        <f>"308477"</f>
        <v>308477</v>
      </c>
      <c r="B380" t="str">
        <f>"81983722158"</f>
        <v>81983722158</v>
      </c>
      <c r="C380" t="str">
        <f>"EVERYDAY COUNTER-MINISTRY APPRECIATION/WITH APPRECIATION FOR YOUR MINISTRY PKG/6-J3467"</f>
        <v>EVERYDAY COUNTER-MINISTRY APPRECIATION/WITH APPRECIATION FOR YOUR MINISTRY PKG/6-J3467</v>
      </c>
      <c r="D380" t="str">
        <f>"J3467"</f>
        <v>J3467</v>
      </c>
      <c r="E380" t="str">
        <f>"ED20D033"</f>
        <v>ED20D033</v>
      </c>
    </row>
    <row r="381" spans="1:5" x14ac:dyDescent="0.25">
      <c r="A381" t="str">
        <f>"279575"</f>
        <v>279575</v>
      </c>
      <c r="B381" t="str">
        <f>"81983757280"</f>
        <v>81983757280</v>
      </c>
      <c r="C381" t="str">
        <f>"EVERYDAY COUNTER-BABY CONGRATS PKG/6-J8176"</f>
        <v>EVERYDAY COUNTER-BABY CONGRATS PKG/6-J8176</v>
      </c>
      <c r="D381" t="str">
        <f>"J8176"</f>
        <v>J8176</v>
      </c>
      <c r="E381" t="str">
        <f>"ED20D034"</f>
        <v>ED20D034</v>
      </c>
    </row>
    <row r="382" spans="1:5" x14ac:dyDescent="0.25">
      <c r="A382" t="str">
        <f>"308211"</f>
        <v>308211</v>
      </c>
      <c r="B382" t="str">
        <f>"81983773327"</f>
        <v>81983773327</v>
      </c>
      <c r="C382" t="str">
        <f>"EVERYDAY COUNTER-CONGRATS FOR ANYONE PKG/6-91990"</f>
        <v>EVERYDAY COUNTER-CONGRATS FOR ANYONE PKG/6-91990</v>
      </c>
      <c r="D382" t="str">
        <f>"91990"</f>
        <v>91990</v>
      </c>
      <c r="E382" t="str">
        <f>"ED20D035"</f>
        <v>ED20D035</v>
      </c>
    </row>
    <row r="383" spans="1:5" x14ac:dyDescent="0.25">
      <c r="A383" t="str">
        <f>"298699"</f>
        <v>298699</v>
      </c>
      <c r="B383" t="str">
        <f>"81983652349"</f>
        <v>81983652349</v>
      </c>
      <c r="C383" t="str">
        <f>"EVERYDAY COUNTER-BABY SPECIAL DAY PKG/6-10277"</f>
        <v>EVERYDAY COUNTER-BABY SPECIAL DAY PKG/6-10277</v>
      </c>
      <c r="D383" t="str">
        <f>"10277"</f>
        <v>10277</v>
      </c>
      <c r="E383" t="str">
        <f>"ED20D036"</f>
        <v>ED20D036</v>
      </c>
    </row>
    <row r="384" spans="1:5" x14ac:dyDescent="0.25">
      <c r="A384" t="str">
        <f>"279611"</f>
        <v>279611</v>
      </c>
      <c r="B384" t="str">
        <f>"81983774300"</f>
        <v>81983774300</v>
      </c>
      <c r="C384" t="str">
        <f>"EVERYDAY COUNTER-SPIRIT OCC-BAPTISM YOUTH PKG/6-J8205"</f>
        <v>EVERYDAY COUNTER-SPIRIT OCC-BAPTISM YOUTH PKG/6-J8205</v>
      </c>
      <c r="D384" t="str">
        <f>"J8205"</f>
        <v>J8205</v>
      </c>
      <c r="E384" t="str">
        <f>"ED20D037"</f>
        <v>ED20D037</v>
      </c>
    </row>
    <row r="385" spans="1:5" x14ac:dyDescent="0.25">
      <c r="A385" t="str">
        <f>"298700"</f>
        <v>298700</v>
      </c>
      <c r="B385" t="str">
        <f>"81983652356"</f>
        <v>81983652356</v>
      </c>
      <c r="C385" t="str">
        <f>"EVERYDAY COUNTER-BAPTISM ADULT PKG/6-10278"</f>
        <v>EVERYDAY COUNTER-BAPTISM ADULT PKG/6-10278</v>
      </c>
      <c r="D385" t="str">
        <f>"10278"</f>
        <v>10278</v>
      </c>
      <c r="E385" t="str">
        <f>"ED20D038"</f>
        <v>ED20D038</v>
      </c>
    </row>
    <row r="386" spans="1:5" x14ac:dyDescent="0.25">
      <c r="A386" t="str">
        <f>"298765"</f>
        <v>298765</v>
      </c>
      <c r="B386" t="str">
        <f>"81983771989"</f>
        <v>81983771989</v>
      </c>
      <c r="C386" t="str">
        <f>"EVERYDAY COUNTER-FRIENDSHIP-TOY-J9910"</f>
        <v>EVERYDAY COUNTER-FRIENDSHIP-TOY-J9910</v>
      </c>
      <c r="D386" t="str">
        <f>"J9910"</f>
        <v>J9910</v>
      </c>
      <c r="E386" t="str">
        <f>"ED20D039"</f>
        <v>ED20D039</v>
      </c>
    </row>
    <row r="387" spans="1:5" x14ac:dyDescent="0.25">
      <c r="A387" t="str">
        <f>"307977"</f>
        <v>307977</v>
      </c>
      <c r="B387" t="str">
        <f>"81983771873"</f>
        <v>81983771873</v>
      </c>
      <c r="C387" t="str">
        <f>"EVERYDAY COUNTER-ENC-FOR ANYONE (Pk/6)-J9899"</f>
        <v>EVERYDAY COUNTER-ENC-FOR ANYONE (Pk/6)-J9899</v>
      </c>
      <c r="D387" t="str">
        <f>"J9899"</f>
        <v>J9899</v>
      </c>
      <c r="E387" t="str">
        <f>"ED20D040"</f>
        <v>ED20D040</v>
      </c>
    </row>
    <row r="388" spans="1:5" x14ac:dyDescent="0.25">
      <c r="A388" t="str">
        <f>"279644"</f>
        <v>279644</v>
      </c>
      <c r="B388" t="str">
        <f>"81983757839"</f>
        <v>81983757839</v>
      </c>
      <c r="C388" t="str">
        <f>"EVERYDAY COUNTER-THANK YOU MINISTRY APPRECIATIO PKG/6-J8231"</f>
        <v>EVERYDAY COUNTER-THANK YOU MINISTRY APPRECIATIO PKG/6-J8231</v>
      </c>
      <c r="D388" t="str">
        <f>"J8231"</f>
        <v>J8231</v>
      </c>
      <c r="E388" t="str">
        <f>"ED20D041"</f>
        <v>ED20D041</v>
      </c>
    </row>
    <row r="389" spans="1:5" x14ac:dyDescent="0.25">
      <c r="A389" t="str">
        <f>"308114"</f>
        <v>308114</v>
      </c>
      <c r="B389" t="str">
        <f>"81983644320"</f>
        <v>81983644320</v>
      </c>
      <c r="C389" t="str">
        <f>"EVERYDAY COUNTER-BABY BOY CONGRATS PKG/6-76489"</f>
        <v>EVERYDAY COUNTER-BABY BOY CONGRATS PKG/6-76489</v>
      </c>
      <c r="D389" t="str">
        <f>"76489"</f>
        <v>76489</v>
      </c>
      <c r="E389" t="str">
        <f>"ED20D042"</f>
        <v>ED20D042</v>
      </c>
    </row>
    <row r="390" spans="1:5" x14ac:dyDescent="0.25">
      <c r="A390" t="str">
        <f>"308210"</f>
        <v>308210</v>
      </c>
      <c r="B390" t="str">
        <f>"81983677328"</f>
        <v>81983677328</v>
      </c>
      <c r="C390" t="str">
        <f>"EVERYDAY COUNTER-CONGRATS FOR ANYONE PKG/6-91989"</f>
        <v>EVERYDAY COUNTER-CONGRATS FOR ANYONE PKG/6-91989</v>
      </c>
      <c r="D390" t="str">
        <f>"91989"</f>
        <v>91989</v>
      </c>
      <c r="E390" t="str">
        <f>"ED20D043"</f>
        <v>ED20D043</v>
      </c>
    </row>
    <row r="391" spans="1:5" x14ac:dyDescent="0.25">
      <c r="A391" t="str">
        <f>"307943"</f>
        <v>307943</v>
      </c>
      <c r="B391" t="str">
        <f>"81983772085"</f>
        <v>81983772085</v>
      </c>
      <c r="C391" t="str">
        <f>"EVERYDAY COUNTER-BABY SPECIAL DAY-J9920"</f>
        <v>EVERYDAY COUNTER-BABY SPECIAL DAY-J9920</v>
      </c>
      <c r="D391" t="str">
        <f>"J9920"</f>
        <v>J9920</v>
      </c>
      <c r="E391" t="str">
        <f>"ED20D044"</f>
        <v>ED20D044</v>
      </c>
    </row>
    <row r="392" spans="1:5" x14ac:dyDescent="0.25">
      <c r="A392" t="str">
        <f>"308008"</f>
        <v>308008</v>
      </c>
      <c r="B392" t="str">
        <f>"81983772115"</f>
        <v>81983772115</v>
      </c>
      <c r="C392" t="str">
        <f>"EVERYDAY COUNTER-YOUTH BAPTISM-J9923"</f>
        <v>EVERYDAY COUNTER-YOUTH BAPTISM-J9923</v>
      </c>
      <c r="D392" t="str">
        <f>"J9923"</f>
        <v>J9923</v>
      </c>
      <c r="E392" t="str">
        <f>"ED20D045"</f>
        <v>ED20D045</v>
      </c>
    </row>
    <row r="393" spans="1:5" x14ac:dyDescent="0.25">
      <c r="A393" t="str">
        <f>"345255"</f>
        <v>345255</v>
      </c>
      <c r="B393" t="str">
        <f>"81983793769"</f>
        <v>81983793769</v>
      </c>
      <c r="C393" t="str">
        <f>"EVERYDAY COUNTER-BAPTISM ADULT PKG/6"</f>
        <v>EVERYDAY COUNTER-BAPTISM ADULT PKG/6</v>
      </c>
      <c r="D393" t="str">
        <f>"U2592"</f>
        <v>U2592</v>
      </c>
      <c r="E393" t="str">
        <f>"ED20D046"</f>
        <v>ED20D046</v>
      </c>
    </row>
    <row r="394" spans="1:5" x14ac:dyDescent="0.25">
      <c r="A394" t="str">
        <f>"307964"</f>
        <v>307964</v>
      </c>
      <c r="B394" t="str">
        <f>"81983618475"</f>
        <v>81983618475</v>
      </c>
      <c r="C394" t="str">
        <f>"EVERYDAY COUNTER-FRIENDSHIP - ANYONE-55105"</f>
        <v>EVERYDAY COUNTER-FRIENDSHIP - ANYONE-55105</v>
      </c>
      <c r="D394" t="str">
        <f>"55105"</f>
        <v>55105</v>
      </c>
      <c r="E394" t="str">
        <f>"ED20D047"</f>
        <v>ED20D047</v>
      </c>
    </row>
    <row r="395" spans="1:5" x14ac:dyDescent="0.25">
      <c r="A395" t="str">
        <f>"308048"</f>
        <v>308048</v>
      </c>
      <c r="B395" t="str">
        <f>"81983773402"</f>
        <v>81983773402</v>
      </c>
      <c r="C395" t="str">
        <f>"EVERYDAY COUNTER-ENCOURAGEMENT-72801"</f>
        <v>EVERYDAY COUNTER-ENCOURAGEMENT-72801</v>
      </c>
      <c r="D395" t="str">
        <f>"72801"</f>
        <v>72801</v>
      </c>
      <c r="E395" t="str">
        <f>"ED20D048"</f>
        <v>ED20D048</v>
      </c>
    </row>
    <row r="396" spans="1:5" x14ac:dyDescent="0.25">
      <c r="A396" t="str">
        <f>"279645"</f>
        <v>279645</v>
      </c>
      <c r="B396" t="str">
        <f>"81983757846"</f>
        <v>81983757846</v>
      </c>
      <c r="C396" t="str">
        <f>"EVERYDAY COUNTER-THANK YOU - PASTOR'S WIFE APPR PKG/6-J8232"</f>
        <v>EVERYDAY COUNTER-THANK YOU - PASTOR'S WIFE APPR PKG/6-J8232</v>
      </c>
      <c r="D396" t="str">
        <f>"J8232"</f>
        <v>J8232</v>
      </c>
      <c r="E396" t="str">
        <f>"ED20D049"</f>
        <v>ED20D049</v>
      </c>
    </row>
    <row r="397" spans="1:5" x14ac:dyDescent="0.25">
      <c r="A397" t="str">
        <f>"298711"</f>
        <v>298711</v>
      </c>
      <c r="B397" t="str">
        <f>"81983652592"</f>
        <v>81983652592</v>
      </c>
      <c r="C397" t="str">
        <f>"EVERYDAY COUNTER-BABY CONGRATS BOY PKG/6-10293"</f>
        <v>EVERYDAY COUNTER-BABY CONGRATS BOY PKG/6-10293</v>
      </c>
      <c r="D397" t="str">
        <f>"10293"</f>
        <v>10293</v>
      </c>
      <c r="E397" t="str">
        <f>"ED20D050"</f>
        <v>ED20D050</v>
      </c>
    </row>
    <row r="398" spans="1:5" x14ac:dyDescent="0.25">
      <c r="A398" t="str">
        <f>"298783"</f>
        <v>298783</v>
      </c>
      <c r="B398" t="str">
        <f>"81983550379"</f>
        <v>81983550379</v>
      </c>
      <c r="C398" t="str">
        <f>"EVERYDAY COUNTER-CONGRATULATIONS-27075"</f>
        <v>EVERYDAY COUNTER-CONGRATULATIONS-27075</v>
      </c>
      <c r="D398" t="str">
        <f>"27075"</f>
        <v>27075</v>
      </c>
      <c r="E398" t="str">
        <f>"ED20D051"</f>
        <v>ED20D051</v>
      </c>
    </row>
    <row r="399" spans="1:5" x14ac:dyDescent="0.25">
      <c r="A399" t="str">
        <f>"298727"</f>
        <v>298727</v>
      </c>
      <c r="B399" t="str">
        <f>"81983678271"</f>
        <v>81983678271</v>
      </c>
      <c r="C399" t="str">
        <f>"EVERYDAY COUNTER-SPIRIT OCC-BABY DEDICATION-11523"</f>
        <v>EVERYDAY COUNTER-SPIRIT OCC-BABY DEDICATION-11523</v>
      </c>
      <c r="D399" t="str">
        <f>"11523"</f>
        <v>11523</v>
      </c>
      <c r="E399" t="str">
        <f>"ED20D052"</f>
        <v>ED20D052</v>
      </c>
    </row>
    <row r="400" spans="1:5" x14ac:dyDescent="0.25">
      <c r="A400" t="str">
        <f>"308220"</f>
        <v>308220</v>
      </c>
      <c r="B400" t="str">
        <f>"81983677427"</f>
        <v>81983677427</v>
      </c>
      <c r="C400" t="str">
        <f>"EVERYDAY COUNTER-YOUTH BAPTISM PKG/6-91999"</f>
        <v>EVERYDAY COUNTER-YOUTH BAPTISM PKG/6-91999</v>
      </c>
      <c r="D400" t="str">
        <f>"91999"</f>
        <v>91999</v>
      </c>
      <c r="E400" t="str">
        <f>"ED20D053"</f>
        <v>ED20D053</v>
      </c>
    </row>
    <row r="401" spans="1:5" x14ac:dyDescent="0.25">
      <c r="A401" t="str">
        <f>"308096"</f>
        <v>308096</v>
      </c>
      <c r="B401" t="str">
        <f>"81983589461"</f>
        <v>81983589461</v>
      </c>
      <c r="C401" t="str">
        <f>"EVERYDAY COUNTER-YOUTH PASTOR APPREC.-75410"</f>
        <v>EVERYDAY COUNTER-YOUTH PASTOR APPREC.-75410</v>
      </c>
      <c r="D401" t="str">
        <f>"75410"</f>
        <v>75410</v>
      </c>
      <c r="E401" t="str">
        <f>"ED20D054"</f>
        <v>ED20D054</v>
      </c>
    </row>
    <row r="402" spans="1:5" x14ac:dyDescent="0.25">
      <c r="A402" t="str">
        <f>"345243"</f>
        <v>345243</v>
      </c>
      <c r="B402" t="str">
        <f>"81983793660"</f>
        <v>81983793660</v>
      </c>
      <c r="C402" t="str">
        <f>"EVERYDAY COUNTER-FRIENDSHIP PKG/6-U2582"</f>
        <v>EVERYDAY COUNTER-FRIENDSHIP PKG/6-U2582</v>
      </c>
      <c r="D402" t="str">
        <f>"U2582"</f>
        <v>U2582</v>
      </c>
      <c r="E402" t="str">
        <f>"ED20D055"</f>
        <v>ED20D055</v>
      </c>
    </row>
    <row r="403" spans="1:5" x14ac:dyDescent="0.25">
      <c r="A403" t="str">
        <f>"307898"</f>
        <v>307898</v>
      </c>
      <c r="B403" t="str">
        <f>"81983771880"</f>
        <v>81983771880</v>
      </c>
      <c r="C403" t="str">
        <f>"EVERYDAY COUNTER-ENC-FOR ANYONE (Pk/6)-J9900"</f>
        <v>EVERYDAY COUNTER-ENC-FOR ANYONE (Pk/6)-J9900</v>
      </c>
      <c r="D403" t="str">
        <f>"J9900"</f>
        <v>J9900</v>
      </c>
      <c r="E403" t="str">
        <f>"ED20D056"</f>
        <v>ED20D056</v>
      </c>
    </row>
    <row r="404" spans="1:5" x14ac:dyDescent="0.25">
      <c r="A404" t="str">
        <f>"308144"</f>
        <v>308144</v>
      </c>
      <c r="B404" t="str">
        <f>"81983584664"</f>
        <v>81983584664</v>
      </c>
      <c r="C404" t="str">
        <f>"EVERYDAY COUNTER-THANK YOU-82374"</f>
        <v>EVERYDAY COUNTER-THANK YOU-82374</v>
      </c>
      <c r="D404" t="str">
        <f>"82374"</f>
        <v>82374</v>
      </c>
      <c r="E404" t="str">
        <f>"ED20D057"</f>
        <v>ED20D057</v>
      </c>
    </row>
    <row r="405" spans="1:5" x14ac:dyDescent="0.25">
      <c r="A405" t="str">
        <f>"298771"</f>
        <v>298771</v>
      </c>
      <c r="B405" t="str">
        <f>"81983771743"</f>
        <v>81983771743</v>
      </c>
      <c r="C405" t="str">
        <f>"EVERYDAY COUNTER-BABY CONGRATS-BOY PKG/6-J9886"</f>
        <v>EVERYDAY COUNTER-BABY CONGRATS-BOY PKG/6-J9886</v>
      </c>
      <c r="D405" t="str">
        <f>"J9886"</f>
        <v>J9886</v>
      </c>
      <c r="E405" t="str">
        <f>"ED20D058"</f>
        <v>ED20D058</v>
      </c>
    </row>
    <row r="406" spans="1:5" x14ac:dyDescent="0.25">
      <c r="A406" t="str">
        <f>"308440"</f>
        <v>308440</v>
      </c>
      <c r="B406" t="str">
        <f>"81983721717"</f>
        <v>81983721717</v>
      </c>
      <c r="C406" t="str">
        <f>"EVERYDAY COUNTER-CONGRATS - GIFT CARD HOLDER/GREEN AND GOLD FLORAL PKG/6-J3423"</f>
        <v>EVERYDAY COUNTER-CONGRATS - GIFT CARD HOLDER/GREEN AND GOLD FLORAL PKG/6-J3423</v>
      </c>
      <c r="D406" t="str">
        <f>"J3423"</f>
        <v>J3423</v>
      </c>
      <c r="E406" t="str">
        <f>"ED20D059"</f>
        <v>ED20D059</v>
      </c>
    </row>
    <row r="407" spans="1:5" x14ac:dyDescent="0.25">
      <c r="A407" t="str">
        <f>"308262"</f>
        <v>308262</v>
      </c>
      <c r="B407" t="str">
        <f>"81983679094"</f>
        <v>81983679094</v>
      </c>
      <c r="C407" t="str">
        <f>"EVERYDAY COUNTER-BABY DEDICATION - GN PKG/6-92299"</f>
        <v>EVERYDAY COUNTER-BABY DEDICATION - GN PKG/6-92299</v>
      </c>
      <c r="D407" t="str">
        <f>"92299"</f>
        <v>92299</v>
      </c>
      <c r="E407" t="str">
        <f>"ED20D060"</f>
        <v>ED20D060</v>
      </c>
    </row>
    <row r="408" spans="1:5" x14ac:dyDescent="0.25">
      <c r="A408" t="str">
        <f>"279610"</f>
        <v>279610</v>
      </c>
      <c r="B408" t="str">
        <f>"81983757563"</f>
        <v>81983757563</v>
      </c>
      <c r="C408" t="str">
        <f>"EVERYDAY COUNTER-SPIRITUAL OCC BAPTISM BABY PKG/6-J8204"</f>
        <v>EVERYDAY COUNTER-SPIRITUAL OCC BAPTISM BABY PKG/6-J8204</v>
      </c>
      <c r="D408" t="str">
        <f>"J8204"</f>
        <v>J8204</v>
      </c>
      <c r="E408" t="str">
        <f>"ED20D061"</f>
        <v>ED20D061</v>
      </c>
    </row>
    <row r="409" spans="1:5" x14ac:dyDescent="0.25">
      <c r="A409" t="str">
        <f>"307946"</f>
        <v>307946</v>
      </c>
      <c r="B409" t="str">
        <f>"81983772146"</f>
        <v>81983772146</v>
      </c>
      <c r="C409" t="str">
        <f>"EVERYDAY COUNTER-ORDINATION-J9926"</f>
        <v>EVERYDAY COUNTER-ORDINATION-J9926</v>
      </c>
      <c r="D409" t="str">
        <f>"J9926"</f>
        <v>J9926</v>
      </c>
      <c r="E409" t="str">
        <f>"ED20D062"</f>
        <v>ED20D062</v>
      </c>
    </row>
    <row r="410" spans="1:5" x14ac:dyDescent="0.25">
      <c r="A410" t="str">
        <f>"308243"</f>
        <v>308243</v>
      </c>
      <c r="B410" t="str">
        <f>"81983678868"</f>
        <v>81983678868</v>
      </c>
      <c r="C410" t="str">
        <f>"EVERYDAY COUNTER-FRIENDSHIP PKG/6-92183"</f>
        <v>EVERYDAY COUNTER-FRIENDSHIP PKG/6-92183</v>
      </c>
      <c r="D410" t="str">
        <f>"92183"</f>
        <v>92183</v>
      </c>
      <c r="E410" t="str">
        <f>"ED20D063"</f>
        <v>ED20D063</v>
      </c>
    </row>
    <row r="411" spans="1:5" x14ac:dyDescent="0.25">
      <c r="A411" t="str">
        <f>"298750"</f>
        <v>298750</v>
      </c>
      <c r="B411" t="str">
        <f>"81983771897"</f>
        <v>81983771897</v>
      </c>
      <c r="C411" t="str">
        <f>"EVERYDAY COUNTER-ENC-FOR ANYONE-J9901"</f>
        <v>EVERYDAY COUNTER-ENC-FOR ANYONE-J9901</v>
      </c>
      <c r="D411" t="str">
        <f>"J9901"</f>
        <v>J9901</v>
      </c>
      <c r="E411" t="str">
        <f>"ED20D064"</f>
        <v>ED20D064</v>
      </c>
    </row>
    <row r="412" spans="1:5" x14ac:dyDescent="0.25">
      <c r="A412" t="str">
        <f>"308151"</f>
        <v>308151</v>
      </c>
      <c r="B412" t="str">
        <f>"81983573293"</f>
        <v>81983573293</v>
      </c>
      <c r="C412" t="str">
        <f>"EVERYDAY COUNTER-THANK YOU - FOR ANYONE-83828"</f>
        <v>EVERYDAY COUNTER-THANK YOU - FOR ANYONE-83828</v>
      </c>
      <c r="D412" t="str">
        <f>"83828"</f>
        <v>83828</v>
      </c>
      <c r="E412" t="str">
        <f>"ED20D065"</f>
        <v>ED20D065</v>
      </c>
    </row>
    <row r="413" spans="1:5" x14ac:dyDescent="0.25">
      <c r="A413" t="str">
        <f>"279574"</f>
        <v>279574</v>
      </c>
      <c r="B413" t="str">
        <f>"81983773297"</f>
        <v>81983773297</v>
      </c>
      <c r="C413" t="str">
        <f>"EVERYDAY COUNTER-BABY CONGRATS BOY PKG/6-J8175"</f>
        <v>EVERYDAY COUNTER-BABY CONGRATS BOY PKG/6-J8175</v>
      </c>
      <c r="D413" t="str">
        <f>"J8175"</f>
        <v>J8175</v>
      </c>
      <c r="E413" t="str">
        <f>"ED20D066"</f>
        <v>ED20D066</v>
      </c>
    </row>
    <row r="414" spans="1:5" x14ac:dyDescent="0.25">
      <c r="A414" t="str">
        <f>"308439"</f>
        <v>308439</v>
      </c>
      <c r="B414" t="str">
        <f>"81983721700"</f>
        <v>81983721700</v>
      </c>
      <c r="C414" t="str">
        <f>"EVERYDAY COUNTER-CONGRATS - GIFT CARD HOLDER/SPECIAL OCCASIONS AND PEOPLE PKG/6-J3422"</f>
        <v>EVERYDAY COUNTER-CONGRATS - GIFT CARD HOLDER/SPECIAL OCCASIONS AND PEOPLE PKG/6-J3422</v>
      </c>
      <c r="D414" t="str">
        <f>"J3422"</f>
        <v>J3422</v>
      </c>
      <c r="E414" t="str">
        <f>"ED20D067"</f>
        <v>ED20D067</v>
      </c>
    </row>
    <row r="415" spans="1:5" x14ac:dyDescent="0.25">
      <c r="A415" t="str">
        <f>"308041"</f>
        <v>308041</v>
      </c>
      <c r="B415" t="str">
        <f>"81983643064"</f>
        <v>81983643064</v>
      </c>
      <c r="C415" t="str">
        <f>"EVERYDAY COUNTER-PASTOR RETIREMENT-72714"</f>
        <v>EVERYDAY COUNTER-PASTOR RETIREMENT-72714</v>
      </c>
      <c r="D415" t="str">
        <f>"72714"</f>
        <v>72714</v>
      </c>
      <c r="E415" t="str">
        <f>"ED20D068"</f>
        <v>ED20D068</v>
      </c>
    </row>
    <row r="416" spans="1:5" x14ac:dyDescent="0.25">
      <c r="A416" t="str">
        <f>"298706"</f>
        <v>298706</v>
      </c>
      <c r="B416" t="str">
        <f>"81983652479"</f>
        <v>81983652479</v>
      </c>
      <c r="C416" t="str">
        <f>"EVERYDAY COUNTER-BAPTISM BABY PKG/6-10285"</f>
        <v>EVERYDAY COUNTER-BAPTISM BABY PKG/6-10285</v>
      </c>
      <c r="D416" t="str">
        <f>"10285"</f>
        <v>10285</v>
      </c>
      <c r="E416" t="str">
        <f>"ED20D069"</f>
        <v>ED20D069</v>
      </c>
    </row>
    <row r="417" spans="1:5" x14ac:dyDescent="0.25">
      <c r="A417" t="str">
        <f>"279612"</f>
        <v>279612</v>
      </c>
      <c r="B417" t="str">
        <f>"81983757587"</f>
        <v>81983757587</v>
      </c>
      <c r="C417" t="str">
        <f>"EVERYDAY COUNTER-SPIRITUAL OCC-CONFIRMATION PKG/6-J8206"</f>
        <v>EVERYDAY COUNTER-SPIRITUAL OCC-CONFIRMATION PKG/6-J8206</v>
      </c>
      <c r="D417" t="str">
        <f>"J8206"</f>
        <v>J8206</v>
      </c>
      <c r="E417" t="str">
        <f>"ED20D070"</f>
        <v>ED20D070</v>
      </c>
    </row>
    <row r="418" spans="1:5" x14ac:dyDescent="0.25">
      <c r="A418" t="str">
        <f>"308039"</f>
        <v>308039</v>
      </c>
      <c r="B418" t="str">
        <f>"81983643057"</f>
        <v>81983643057</v>
      </c>
      <c r="C418" t="str">
        <f>"EVERYDAY COUNTER-FRIENDSHIP-72713"</f>
        <v>EVERYDAY COUNTER-FRIENDSHIP-72713</v>
      </c>
      <c r="D418" t="str">
        <f>"72713"</f>
        <v>72713</v>
      </c>
      <c r="E418" t="str">
        <f>"ED20D071"</f>
        <v>ED20D071</v>
      </c>
    </row>
    <row r="419" spans="1:5" x14ac:dyDescent="0.25">
      <c r="A419" t="str">
        <f>"401608"</f>
        <v>401608</v>
      </c>
      <c r="B419" t="str">
        <f>"81983612534"</f>
        <v>81983612534</v>
      </c>
      <c r="C419" t="str">
        <f>"EVERYDAY COUNTER-ENCOURAGEMENT - FOR ANYONE-44144"</f>
        <v>EVERYDAY COUNTER-ENCOURAGEMENT - FOR ANYONE-44144</v>
      </c>
      <c r="D419" t="str">
        <f>"44144"</f>
        <v>44144</v>
      </c>
      <c r="E419" t="str">
        <f>"ED20D072"</f>
        <v>ED20D072</v>
      </c>
    </row>
    <row r="420" spans="1:5" x14ac:dyDescent="0.25">
      <c r="A420" t="str">
        <f>"308473"</f>
        <v>308473</v>
      </c>
      <c r="B420" t="str">
        <f>"81983722042"</f>
        <v>81983722042</v>
      </c>
      <c r="C420" t="str">
        <f>"EVERYDAY COUNTER-THANK YOU/FOR THOSE WHO MAKE A DIFFERENCE PKG/6-J3456"</f>
        <v>EVERYDAY COUNTER-THANK YOU/FOR THOSE WHO MAKE A DIFFERENCE PKG/6-J3456</v>
      </c>
      <c r="D420" t="str">
        <f>"J3456"</f>
        <v>J3456</v>
      </c>
      <c r="E420" t="str">
        <f>"ED20D073"</f>
        <v>ED20D073</v>
      </c>
    </row>
    <row r="421" spans="1:5" x14ac:dyDescent="0.25">
      <c r="A421" t="str">
        <f>"307951"</f>
        <v>307951</v>
      </c>
      <c r="B421" t="str">
        <f>"81983771774"</f>
        <v>81983771774</v>
      </c>
      <c r="C421" t="str">
        <f>"EVERYDAY COUNTER-CONGRATS-MOTHERTOBE-J9889"</f>
        <v>EVERYDAY COUNTER-CONGRATS-MOTHERTOBE-J9889</v>
      </c>
      <c r="D421" t="str">
        <f>"J9889"</f>
        <v>J9889</v>
      </c>
      <c r="E421" t="str">
        <f>"ED20D074"</f>
        <v>ED20D074</v>
      </c>
    </row>
    <row r="422" spans="1:5" x14ac:dyDescent="0.25">
      <c r="A422" t="str">
        <f>"308084"</f>
        <v>308084</v>
      </c>
      <c r="B422" t="str">
        <f>"81983771804"</f>
        <v>81983771804</v>
      </c>
      <c r="C422" t="str">
        <f>"EVERYDAY COUNTER-CONGRATS GRADUATE-J9892"</f>
        <v>EVERYDAY COUNTER-CONGRATS GRADUATE-J9892</v>
      </c>
      <c r="D422" t="str">
        <f>"J9892"</f>
        <v>J9892</v>
      </c>
      <c r="E422" t="str">
        <f>"ED20D075"</f>
        <v>ED20D075</v>
      </c>
    </row>
    <row r="423" spans="1:5" x14ac:dyDescent="0.25">
      <c r="A423" t="str">
        <f>"345254"</f>
        <v>345254</v>
      </c>
      <c r="B423" t="str">
        <f>"81983793752"</f>
        <v>81983793752</v>
      </c>
      <c r="C423" t="str">
        <f>"EVERYDAY COUNTER-RETIREMENT/MASCULINE PKG/6"</f>
        <v>EVERYDAY COUNTER-RETIREMENT/MASCULINE PKG/6</v>
      </c>
      <c r="D423" t="str">
        <f>"U2591"</f>
        <v>U2591</v>
      </c>
      <c r="E423" t="str">
        <f>"ED20D076"</f>
        <v>ED20D076</v>
      </c>
    </row>
    <row r="424" spans="1:5" x14ac:dyDescent="0.25">
      <c r="A424" t="str">
        <f>"345257"</f>
        <v>345257</v>
      </c>
      <c r="B424" t="str">
        <f>"81983793776"</f>
        <v>81983793776</v>
      </c>
      <c r="C424" t="str">
        <f>"EVERYDAY COUNTER-BAPTISM BABY PKG/6"</f>
        <v>EVERYDAY COUNTER-BAPTISM BABY PKG/6</v>
      </c>
      <c r="D424" t="str">
        <f>"U2593"</f>
        <v>U2593</v>
      </c>
      <c r="E424" t="str">
        <f>"ED20D077"</f>
        <v>ED20D077</v>
      </c>
    </row>
    <row r="425" spans="1:5" x14ac:dyDescent="0.25">
      <c r="A425" t="str">
        <f>"307924"</f>
        <v>307924</v>
      </c>
      <c r="B425" t="str">
        <f>"81983612879"</f>
        <v>81983612879</v>
      </c>
      <c r="C425" t="str">
        <f>"EVERYDAY COUNTER-SPIRITUAL OCC-1ST COMMUNION-44438"</f>
        <v>EVERYDAY COUNTER-SPIRITUAL OCC-1ST COMMUNION-44438</v>
      </c>
      <c r="D425" t="str">
        <f>"44438"</f>
        <v>44438</v>
      </c>
      <c r="E425" t="str">
        <f>"ED20D078"</f>
        <v>ED20D078</v>
      </c>
    </row>
    <row r="426" spans="1:5" x14ac:dyDescent="0.25">
      <c r="A426" t="str">
        <f>"279613"</f>
        <v>279613</v>
      </c>
      <c r="B426" t="str">
        <f>"81983774317"</f>
        <v>81983774317</v>
      </c>
      <c r="C426" t="str">
        <f>"EVERYDAY COUNTER-SPIRITUAL OCC-CONFIRMATION PKG/6-J8207"</f>
        <v>EVERYDAY COUNTER-SPIRITUAL OCC-CONFIRMATION PKG/6-J8207</v>
      </c>
      <c r="D426" t="str">
        <f>"J8207"</f>
        <v>J8207</v>
      </c>
      <c r="E426" t="str">
        <f>"ED20D079"</f>
        <v>ED20D079</v>
      </c>
    </row>
    <row r="427" spans="1:5" x14ac:dyDescent="0.25">
      <c r="A427" t="str">
        <f>"308214"</f>
        <v>308214</v>
      </c>
      <c r="B427" t="str">
        <f>"81983677366"</f>
        <v>81983677366</v>
      </c>
      <c r="C427" t="str">
        <f>"EVERYDAY COUNTER-FRIENDSHIP-MISS YOU PKG/6-91993"</f>
        <v>EVERYDAY COUNTER-FRIENDSHIP-MISS YOU PKG/6-91993</v>
      </c>
      <c r="D427" t="str">
        <f>"91993"</f>
        <v>91993</v>
      </c>
      <c r="E427" t="str">
        <f>"ED20D080"</f>
        <v>ED20D080</v>
      </c>
    </row>
    <row r="428" spans="1:5" x14ac:dyDescent="0.25">
      <c r="A428" t="str">
        <f>"307953"</f>
        <v>307953</v>
      </c>
      <c r="B428" t="str">
        <f>"81983618154"</f>
        <v>81983618154</v>
      </c>
      <c r="C428" t="str">
        <f>"EVERYDAY COUNTER-ENCOURAGEMENT - ANYONE-52030"</f>
        <v>EVERYDAY COUNTER-ENCOURAGEMENT - ANYONE-52030</v>
      </c>
      <c r="D428" t="str">
        <f>"52030"</f>
        <v>52030</v>
      </c>
      <c r="E428" t="str">
        <f>"ED20D081"</f>
        <v>ED20D081</v>
      </c>
    </row>
    <row r="429" spans="1:5" x14ac:dyDescent="0.25">
      <c r="A429" t="str">
        <f>"308046"</f>
        <v>308046</v>
      </c>
      <c r="B429" t="str">
        <f>"81983774683"</f>
        <v>81983774683</v>
      </c>
      <c r="C429" t="str">
        <f>"EVERYDAY COUNTER-THANK YOU-72720"</f>
        <v>EVERYDAY COUNTER-THANK YOU-72720</v>
      </c>
      <c r="D429" t="str">
        <f>"72720"</f>
        <v>72720</v>
      </c>
      <c r="E429" t="str">
        <f>"ED20D082"</f>
        <v>ED20D082</v>
      </c>
    </row>
    <row r="430" spans="1:5" x14ac:dyDescent="0.25">
      <c r="A430" t="str">
        <f>"279577"</f>
        <v>279577</v>
      </c>
      <c r="B430" t="str">
        <f>"81983757303"</f>
        <v>81983757303</v>
      </c>
      <c r="C430" t="str">
        <f>"EVERYDAY COUNTER-CONGRATS-BABY SHOWER PKG/6-J8178"</f>
        <v>EVERYDAY COUNTER-CONGRATS-BABY SHOWER PKG/6-J8178</v>
      </c>
      <c r="D430" t="str">
        <f>"J8178"</f>
        <v>J8178</v>
      </c>
      <c r="E430" t="str">
        <f>"ED20D083"</f>
        <v>ED20D083</v>
      </c>
    </row>
    <row r="431" spans="1:5" x14ac:dyDescent="0.25">
      <c r="A431" t="str">
        <f>"279604"</f>
        <v>279604</v>
      </c>
      <c r="B431" t="str">
        <f>"81983757518"</f>
        <v>81983757518</v>
      </c>
      <c r="C431" t="str">
        <f>"EVERYDAY COUNTER-SPEC OCC - AS YOU LEAVE PKG/6-J8199"</f>
        <v>EVERYDAY COUNTER-SPEC OCC - AS YOU LEAVE PKG/6-J8199</v>
      </c>
      <c r="D431" t="str">
        <f>"J8199"</f>
        <v>J8199</v>
      </c>
      <c r="E431" t="str">
        <f>"ED20D084"</f>
        <v>ED20D084</v>
      </c>
    </row>
    <row r="432" spans="1:5" x14ac:dyDescent="0.25">
      <c r="A432" t="str">
        <f>"279607"</f>
        <v>279607</v>
      </c>
      <c r="B432" t="str">
        <f>"81983774270"</f>
        <v>81983774270</v>
      </c>
      <c r="C432" t="str">
        <f>"EVERYDAY COUNTER-SPECIAL OCC-RETIREMENT PKG/6-J8201"</f>
        <v>EVERYDAY COUNTER-SPECIAL OCC-RETIREMENT PKG/6-J8201</v>
      </c>
      <c r="D432" t="str">
        <f>"J8201"</f>
        <v>J8201</v>
      </c>
      <c r="E432" t="str">
        <f>"ED20D085"</f>
        <v>ED20D085</v>
      </c>
    </row>
    <row r="433" spans="1:5" x14ac:dyDescent="0.25">
      <c r="A433" t="str">
        <f>"308109"</f>
        <v>308109</v>
      </c>
      <c r="B433" t="str">
        <f>"81983644276"</f>
        <v>81983644276</v>
      </c>
      <c r="C433" t="str">
        <f>"EVERYDAY COUNTER-STEPPING OUT IN FAITH-76484"</f>
        <v>EVERYDAY COUNTER-STEPPING OUT IN FAITH-76484</v>
      </c>
      <c r="D433" t="str">
        <f>"76484"</f>
        <v>76484</v>
      </c>
      <c r="E433" t="str">
        <f>"ED20D086"</f>
        <v>ED20D086</v>
      </c>
    </row>
    <row r="434" spans="1:5" x14ac:dyDescent="0.25">
      <c r="A434" t="str">
        <f>"308043"</f>
        <v>308043</v>
      </c>
      <c r="B434" t="str">
        <f>"81983774324"</f>
        <v>81983774324</v>
      </c>
      <c r="C434" t="str">
        <f>"EVERYDAY COUNTER-COMMUNION-72717"</f>
        <v>EVERYDAY COUNTER-COMMUNION-72717</v>
      </c>
      <c r="D434" t="str">
        <f>"72717"</f>
        <v>72717</v>
      </c>
      <c r="E434" t="str">
        <f>"ED20D087"</f>
        <v>ED20D087</v>
      </c>
    </row>
    <row r="435" spans="1:5" x14ac:dyDescent="0.25">
      <c r="A435" t="str">
        <f>"298782"</f>
        <v>298782</v>
      </c>
      <c r="B435" t="str">
        <f>"81983771927"</f>
        <v>81983771927</v>
      </c>
      <c r="C435" t="str">
        <f>"EVERYDAY COUNTER-IN THIS TOGETHER-J9904"</f>
        <v>EVERYDAY COUNTER-IN THIS TOGETHER-J9904</v>
      </c>
      <c r="D435" t="str">
        <f>"J9904"</f>
        <v>J9904</v>
      </c>
      <c r="E435" t="str">
        <f>"ED20D088"</f>
        <v>ED20D088</v>
      </c>
    </row>
    <row r="436" spans="1:5" x14ac:dyDescent="0.25">
      <c r="A436" t="str">
        <f>"308215"</f>
        <v>308215</v>
      </c>
      <c r="B436" t="str">
        <f>"81983677373"</f>
        <v>81983677373</v>
      </c>
      <c r="C436" t="str">
        <f>"EVERYDAY COUNTER-FRIENDSHIP-GOODBYE PKG/6-91994"</f>
        <v>EVERYDAY COUNTER-FRIENDSHIP-GOODBYE PKG/6-91994</v>
      </c>
      <c r="D436" t="str">
        <f>"91994"</f>
        <v>91994</v>
      </c>
      <c r="E436" t="str">
        <f>"ED20D089"</f>
        <v>ED20D089</v>
      </c>
    </row>
    <row r="437" spans="1:5" x14ac:dyDescent="0.25">
      <c r="A437" t="str">
        <f>"308050"</f>
        <v>308050</v>
      </c>
      <c r="B437" t="str">
        <f>"81983773396"</f>
        <v>81983773396</v>
      </c>
      <c r="C437" t="str">
        <f>"EVERYDAY COUNTER-ENCOURAGEMENT-72802"</f>
        <v>EVERYDAY COUNTER-ENCOURAGEMENT-72802</v>
      </c>
      <c r="D437" t="str">
        <f>"72802"</f>
        <v>72802</v>
      </c>
      <c r="E437" t="str">
        <f>"ED20D090"</f>
        <v>ED20D090</v>
      </c>
    </row>
    <row r="438" spans="1:5" x14ac:dyDescent="0.25">
      <c r="A438" t="str">
        <f>"345264"</f>
        <v>345264</v>
      </c>
      <c r="B438" t="str">
        <f>"81983793837"</f>
        <v>81983793837</v>
      </c>
      <c r="C438" t="str">
        <f>"EVERYDAY COUNTER-THANK YOU PKG/6-U2599"</f>
        <v>EVERYDAY COUNTER-THANK YOU PKG/6-U2599</v>
      </c>
      <c r="D438" t="str">
        <f>"U2599"</f>
        <v>U2599</v>
      </c>
      <c r="E438" t="str">
        <f>"ED20D091"</f>
        <v>ED20D091</v>
      </c>
    </row>
    <row r="439" spans="1:5" x14ac:dyDescent="0.25">
      <c r="A439" t="str">
        <f>"308438"</f>
        <v>308438</v>
      </c>
      <c r="B439" t="str">
        <f>"81983721656"</f>
        <v>81983721656</v>
      </c>
      <c r="C439" t="str">
        <f>"EVERYDAY COUNTER-BABY CONGRATS/TINY TOES  PKG/6-J3417"</f>
        <v>EVERYDAY COUNTER-BABY CONGRATS/TINY TOES  PKG/6-J3417</v>
      </c>
      <c r="D439" t="str">
        <f>"J3417"</f>
        <v>J3417</v>
      </c>
      <c r="E439" t="str">
        <f>"ED20D092"</f>
        <v>ED20D092</v>
      </c>
    </row>
    <row r="440" spans="1:5" x14ac:dyDescent="0.25">
      <c r="A440" t="str">
        <f>"308464"</f>
        <v>308464</v>
      </c>
      <c r="B440" t="str">
        <f>"81983721960"</f>
        <v>81983721960</v>
      </c>
      <c r="C440" t="str">
        <f>"EVERYDAY COUNTER-AS YOU LEAVE/BUTTERFLY AND FLOWERS PKG/6-J3448"</f>
        <v>EVERYDAY COUNTER-AS YOU LEAVE/BUTTERFLY AND FLOWERS PKG/6-J3448</v>
      </c>
      <c r="D440" t="str">
        <f>"J3448"</f>
        <v>J3448</v>
      </c>
      <c r="E440" t="str">
        <f>"ED20D093"</f>
        <v>ED20D093</v>
      </c>
    </row>
    <row r="441" spans="1:5" x14ac:dyDescent="0.25">
      <c r="A441" t="str">
        <f>"308002"</f>
        <v>308002</v>
      </c>
      <c r="B441" t="str">
        <f>"81983772078"</f>
        <v>81983772078</v>
      </c>
      <c r="C441" t="str">
        <f>"EVERYDAY COUNTER-SPECIAL OCCASION-RETIREMENT-J9919"</f>
        <v>EVERYDAY COUNTER-SPECIAL OCCASION-RETIREMENT-J9919</v>
      </c>
      <c r="D441" t="str">
        <f>"J9919"</f>
        <v>J9919</v>
      </c>
      <c r="E441" t="str">
        <f>"ED20D094"</f>
        <v>ED20D094</v>
      </c>
    </row>
    <row r="442" spans="1:5" x14ac:dyDescent="0.25">
      <c r="A442" t="str">
        <f>"298723"</f>
        <v>298723</v>
      </c>
      <c r="B442" t="str">
        <f>"81983592874"</f>
        <v>81983592874</v>
      </c>
      <c r="C442" t="str">
        <f>"EVERYDAY COUNTER-SPIRIT OCC-WIM-11517"</f>
        <v>EVERYDAY COUNTER-SPIRIT OCC-WIM-11517</v>
      </c>
      <c r="D442" t="str">
        <f>"11517"</f>
        <v>11517</v>
      </c>
      <c r="E442" t="str">
        <f>"ED20D095"</f>
        <v>ED20D095</v>
      </c>
    </row>
    <row r="443" spans="1:5" x14ac:dyDescent="0.25">
      <c r="A443" t="str">
        <f>"307923"</f>
        <v>307923</v>
      </c>
      <c r="B443" t="str">
        <f>"81983772139"</f>
        <v>81983772139</v>
      </c>
      <c r="C443" t="str">
        <f>"EVERYDAY COUNTER-SPIRITUAL OCC-1ST COMMUNION-J9925"</f>
        <v>EVERYDAY COUNTER-SPIRITUAL OCC-1ST COMMUNION-J9925</v>
      </c>
      <c r="D443" t="str">
        <f>"J9925"</f>
        <v>J9925</v>
      </c>
      <c r="E443" t="str">
        <f>"ED20D096"</f>
        <v>ED20D096</v>
      </c>
    </row>
    <row r="444" spans="1:5" x14ac:dyDescent="0.25">
      <c r="A444" t="str">
        <f>"307984"</f>
        <v>307984</v>
      </c>
      <c r="B444" t="str">
        <f>"81983618826"</f>
        <v>81983618826</v>
      </c>
      <c r="C444" t="str">
        <f>"EVERYDAY COUNTER-ENC-IN THIS TOGETHER-55525"</f>
        <v>EVERYDAY COUNTER-ENC-IN THIS TOGETHER-55525</v>
      </c>
      <c r="D444" t="str">
        <f>"55525"</f>
        <v>55525</v>
      </c>
      <c r="E444" t="str">
        <f>"ED20D097"</f>
        <v>ED20D097</v>
      </c>
    </row>
    <row r="445" spans="1:5" x14ac:dyDescent="0.25">
      <c r="A445" t="str">
        <f>"307899"</f>
        <v>307899</v>
      </c>
      <c r="B445" t="str">
        <f>"81983612541"</f>
        <v>81983612541</v>
      </c>
      <c r="C445" t="str">
        <f>"EVERYDAY COUNTER-ENC-SMILE-44145"</f>
        <v>EVERYDAY COUNTER-ENC-SMILE-44145</v>
      </c>
      <c r="D445" t="str">
        <f>"44145"</f>
        <v>44145</v>
      </c>
      <c r="E445" t="str">
        <f>"ED20D098"</f>
        <v>ED20D098</v>
      </c>
    </row>
    <row r="446" spans="1:5" x14ac:dyDescent="0.25">
      <c r="A446" t="str">
        <f>"308053"</f>
        <v>308053</v>
      </c>
      <c r="B446" t="str">
        <f>"81983643163"</f>
        <v>81983643163</v>
      </c>
      <c r="C446" t="str">
        <f>"EVERYDAY COUNTER-ENCOURAGEMENT-72804"</f>
        <v>EVERYDAY COUNTER-ENCOURAGEMENT-72804</v>
      </c>
      <c r="D446" t="str">
        <f>"72804"</f>
        <v>72804</v>
      </c>
      <c r="E446" t="str">
        <f>"ED20D099"</f>
        <v>ED20D099</v>
      </c>
    </row>
    <row r="447" spans="1:5" x14ac:dyDescent="0.25">
      <c r="A447" t="str">
        <f>"308159"</f>
        <v>308159</v>
      </c>
      <c r="B447" t="str">
        <f>"81983772276"</f>
        <v>81983772276</v>
      </c>
      <c r="C447" t="str">
        <f>"EVERYDAY COUNTER-THANK YOU - FOR ANYONE-J9939"</f>
        <v>EVERYDAY COUNTER-THANK YOU - FOR ANYONE-J9939</v>
      </c>
      <c r="D447" t="str">
        <f>"J9939"</f>
        <v>J9939</v>
      </c>
      <c r="E447" t="str">
        <f>"ED20D100"</f>
        <v>ED20D100</v>
      </c>
    </row>
    <row r="448" spans="1:5" x14ac:dyDescent="0.25">
      <c r="A448" t="str">
        <f>"308465"</f>
        <v>308465</v>
      </c>
      <c r="B448" t="str">
        <f>"81983721977"</f>
        <v>81983721977</v>
      </c>
      <c r="C448" t="str">
        <f>"EVERYDAY COUNTER-THANK YOU/CONFETTI SHOWERS PKG/6-J3449"</f>
        <v>EVERYDAY COUNTER-THANK YOU/CONFETTI SHOWERS PKG/6-J3449</v>
      </c>
      <c r="D448" t="str">
        <f>"J3449"</f>
        <v>J3449</v>
      </c>
      <c r="E448" t="str">
        <f>"ED20D101"</f>
        <v>ED20D101</v>
      </c>
    </row>
    <row r="449" spans="1:5" x14ac:dyDescent="0.25">
      <c r="A449" t="str">
        <f>"279605"</f>
        <v>279605</v>
      </c>
      <c r="B449" t="str">
        <f>"81983757525"</f>
        <v>81983757525</v>
      </c>
      <c r="C449" t="str">
        <f>"EVERYDAY COUNTER-SPECIAL OCC-AS YOU MOVE PKG/6-J8200"</f>
        <v>EVERYDAY COUNTER-SPECIAL OCC-AS YOU MOVE PKG/6-J8200</v>
      </c>
      <c r="D449" t="str">
        <f>"J8200"</f>
        <v>J8200</v>
      </c>
      <c r="E449" t="str">
        <f>"ED20D102"</f>
        <v>ED20D102</v>
      </c>
    </row>
    <row r="450" spans="1:5" x14ac:dyDescent="0.25">
      <c r="A450" t="str">
        <f>"345253"</f>
        <v>345253</v>
      </c>
      <c r="B450" t="str">
        <f>"81983793745"</f>
        <v>81983793745</v>
      </c>
      <c r="C450" t="str">
        <f>"EVERYDAY COUNTER-HOUSEWARMING PKG/6"</f>
        <v>EVERYDAY COUNTER-HOUSEWARMING PKG/6</v>
      </c>
      <c r="D450" t="str">
        <f>"U2590"</f>
        <v>U2590</v>
      </c>
      <c r="E450" t="str">
        <f>"ED20D103"</f>
        <v>ED20D103</v>
      </c>
    </row>
    <row r="451" spans="1:5" x14ac:dyDescent="0.25">
      <c r="A451" t="str">
        <f>"279615"</f>
        <v>279615</v>
      </c>
      <c r="B451" t="str">
        <f>"81983757600"</f>
        <v>81983757600</v>
      </c>
      <c r="C451" t="str">
        <f>"EVERYDAY COUNTER-SPIRITUAL OCC WOMEN IN MINISTR PKG/6-J8208"</f>
        <v>EVERYDAY COUNTER-SPIRITUAL OCC WOMEN IN MINISTR PKG/6-J8208</v>
      </c>
      <c r="D451" t="str">
        <f>"J8208"</f>
        <v>J8208</v>
      </c>
      <c r="E451" t="str">
        <f>"ED20D104"</f>
        <v>ED20D104</v>
      </c>
    </row>
    <row r="452" spans="1:5" x14ac:dyDescent="0.25">
      <c r="A452" t="str">
        <f>"307980"</f>
        <v>307980</v>
      </c>
      <c r="B452" t="str">
        <f>"81983618789"</f>
        <v>81983618789</v>
      </c>
      <c r="C452" t="str">
        <f>"EVERYDAY COUNTER-ENC-YOU MAKE A DIFFERENCE-55403"</f>
        <v>EVERYDAY COUNTER-ENC-YOU MAKE A DIFFERENCE-55403</v>
      </c>
      <c r="D452" t="str">
        <f>"55403"</f>
        <v>55403</v>
      </c>
      <c r="E452" t="str">
        <f>"ED20D105"</f>
        <v>ED20D105</v>
      </c>
    </row>
    <row r="453" spans="1:5" x14ac:dyDescent="0.25">
      <c r="A453" t="str">
        <f>"307986"</f>
        <v>307986</v>
      </c>
      <c r="B453" t="str">
        <f>"81983771934"</f>
        <v>81983771934</v>
      </c>
      <c r="C453" t="str">
        <f>"EVERYDAY COUNTER-ENC-YOU MAKE A DIFFERENCE-J9905"</f>
        <v>EVERYDAY COUNTER-ENC-YOU MAKE A DIFFERENCE-J9905</v>
      </c>
      <c r="D453" t="str">
        <f>"J9905"</f>
        <v>J9905</v>
      </c>
      <c r="E453" t="str">
        <f>"ED20D106"</f>
        <v>ED20D106</v>
      </c>
    </row>
    <row r="454" spans="1:5" x14ac:dyDescent="0.25">
      <c r="A454" t="str">
        <f>"307976"</f>
        <v>307976</v>
      </c>
      <c r="B454" t="str">
        <f>"81983618727"</f>
        <v>81983618727</v>
      </c>
      <c r="C454" t="str">
        <f>"EVERYDAY COUNTER-ENC-SMILE-55205"</f>
        <v>EVERYDAY COUNTER-ENC-SMILE-55205</v>
      </c>
      <c r="D454" t="str">
        <f>"55205"</f>
        <v>55205</v>
      </c>
      <c r="E454" t="str">
        <f>"ED20D107"</f>
        <v>ED20D107</v>
      </c>
    </row>
    <row r="455" spans="1:5" x14ac:dyDescent="0.25">
      <c r="A455" t="str">
        <f>"308052"</f>
        <v>308052</v>
      </c>
      <c r="B455" t="str">
        <f>"81983773389"</f>
        <v>81983773389</v>
      </c>
      <c r="C455" t="str">
        <f>"EVERYDAY COUNTER-ENCOURAGEMENT-72803"</f>
        <v>EVERYDAY COUNTER-ENCOURAGEMENT-72803</v>
      </c>
      <c r="D455" t="str">
        <f>"72803"</f>
        <v>72803</v>
      </c>
      <c r="E455" t="str">
        <f>"ED20D108"</f>
        <v>ED20D108</v>
      </c>
    </row>
    <row r="456" spans="1:5" x14ac:dyDescent="0.25">
      <c r="A456" t="str">
        <f>"308166"</f>
        <v>308166</v>
      </c>
      <c r="B456" t="str">
        <f>"81983772337"</f>
        <v>81983772337</v>
      </c>
      <c r="C456" t="str">
        <f>"EVERYDAY COUNTER-THANK YOU - MILITARY-J9945"</f>
        <v>EVERYDAY COUNTER-THANK YOU - MILITARY-J9945</v>
      </c>
      <c r="D456" t="str">
        <f>"J9945"</f>
        <v>J9945</v>
      </c>
      <c r="E456" t="str">
        <f>"ED20D109"</f>
        <v>ED20D109</v>
      </c>
    </row>
    <row r="457" spans="1:5" x14ac:dyDescent="0.25">
      <c r="A457" t="str">
        <f>"345265"</f>
        <v>345265</v>
      </c>
      <c r="B457" t="str">
        <f>"81983793844"</f>
        <v>81983793844</v>
      </c>
      <c r="C457" t="str">
        <f>"EVERYDAY COUNTER-THANK YOU PK/6-U2600"</f>
        <v>EVERYDAY COUNTER-THANK YOU PK/6-U2600</v>
      </c>
      <c r="D457" t="str">
        <f>"U2600"</f>
        <v>U2600</v>
      </c>
      <c r="E457" t="str">
        <f>"ED20D110"</f>
        <v>ED20D110</v>
      </c>
    </row>
    <row r="458" spans="1:5" x14ac:dyDescent="0.25">
      <c r="A458" t="str">
        <f>"308088"</f>
        <v>308088</v>
      </c>
      <c r="B458" t="str">
        <f>"81983772054"</f>
        <v>81983772054</v>
      </c>
      <c r="C458" t="str">
        <f>"EVERYDAY COUNTER-AS YOU MOVE PKG/6-J9917"</f>
        <v>EVERYDAY COUNTER-AS YOU MOVE PKG/6-J9917</v>
      </c>
      <c r="D458" t="str">
        <f>"J9917"</f>
        <v>J9917</v>
      </c>
      <c r="E458" t="str">
        <f>"ED20D111"</f>
        <v>ED20D111</v>
      </c>
    </row>
    <row r="459" spans="1:5" x14ac:dyDescent="0.25">
      <c r="A459" t="str">
        <f>"308486"</f>
        <v>308486</v>
      </c>
      <c r="B459" t="str">
        <f>"81983722288"</f>
        <v>81983722288</v>
      </c>
      <c r="C459" t="str">
        <f>"EVERYDAY COUNTER-WITNESS/TABLE AND CHAIRS PKG/6-J3480"</f>
        <v>EVERYDAY COUNTER-WITNESS/TABLE AND CHAIRS PKG/6-J3480</v>
      </c>
      <c r="D459" t="str">
        <f>"J3480"</f>
        <v>J3480</v>
      </c>
      <c r="E459" t="str">
        <f>"ED20D112"</f>
        <v>ED20D112</v>
      </c>
    </row>
    <row r="460" spans="1:5" x14ac:dyDescent="0.25">
      <c r="A460" t="str">
        <f>"308091"</f>
        <v>308091</v>
      </c>
      <c r="B460" t="str">
        <f>"81983772122"</f>
        <v>81983772122</v>
      </c>
      <c r="C460" t="str">
        <f>"EVERYDAY COUNTER-CHURCH FAMILY WELCOME-J9924"</f>
        <v>EVERYDAY COUNTER-CHURCH FAMILY WELCOME-J9924</v>
      </c>
      <c r="D460" t="str">
        <f>"J9924"</f>
        <v>J9924</v>
      </c>
      <c r="E460" t="str">
        <f>"ED20D113"</f>
        <v>ED20D113</v>
      </c>
    </row>
    <row r="461" spans="1:5" x14ac:dyDescent="0.25">
      <c r="A461" t="str">
        <f>"307902"</f>
        <v>307902</v>
      </c>
      <c r="B461" t="str">
        <f>"81983771941"</f>
        <v>81983771941</v>
      </c>
      <c r="C461" t="str">
        <f>"EVERYDAY COUNTER-ENC-MAKE A DIFF-J9906"</f>
        <v>EVERYDAY COUNTER-ENC-MAKE A DIFF-J9906</v>
      </c>
      <c r="D461" t="str">
        <f>"J9906"</f>
        <v>J9906</v>
      </c>
      <c r="E461" t="str">
        <f>"ED20D114"</f>
        <v>ED20D114</v>
      </c>
    </row>
    <row r="462" spans="1:5" x14ac:dyDescent="0.25">
      <c r="A462" t="str">
        <f>"307900"</f>
        <v>307900</v>
      </c>
      <c r="B462" t="str">
        <f>"81983612558"</f>
        <v>81983612558</v>
      </c>
      <c r="C462" t="str">
        <f>"EVERYDAY COUNTER-ENC-TRANSITION-44146"</f>
        <v>EVERYDAY COUNTER-ENC-TRANSITION-44146</v>
      </c>
      <c r="D462" t="str">
        <f>"44146"</f>
        <v>44146</v>
      </c>
      <c r="E462" t="str">
        <f>"ED20D115"</f>
        <v>ED20D115</v>
      </c>
    </row>
    <row r="463" spans="1:5" x14ac:dyDescent="0.25">
      <c r="A463" t="str">
        <f>"279590"</f>
        <v>279590</v>
      </c>
      <c r="B463" t="str">
        <f>"81983757419"</f>
        <v>81983757419</v>
      </c>
      <c r="C463" t="str">
        <f>"EVERYDAY COUNTER-ENCOURAGEMENT - SMILE PKG/6-J8189"</f>
        <v>EVERYDAY COUNTER-ENCOURAGEMENT - SMILE PKG/6-J8189</v>
      </c>
      <c r="D463" t="str">
        <f>"J8189"</f>
        <v>J8189</v>
      </c>
      <c r="E463" t="str">
        <f>"ED20D116"</f>
        <v>ED20D116</v>
      </c>
    </row>
    <row r="464" spans="1:5" x14ac:dyDescent="0.25">
      <c r="A464" t="str">
        <f>"307916"</f>
        <v>307916</v>
      </c>
      <c r="B464" t="str">
        <f>"81983612725"</f>
        <v>81983612725</v>
      </c>
      <c r="C464" t="str">
        <f>"EVERYDAY COUNTER-ENCOURAGEMENT - ANYONE-44416"</f>
        <v>EVERYDAY COUNTER-ENCOURAGEMENT - ANYONE-44416</v>
      </c>
      <c r="D464" t="str">
        <f>"44416"</f>
        <v>44416</v>
      </c>
      <c r="E464" t="str">
        <f>"ED20D117"</f>
        <v>ED20D117</v>
      </c>
    </row>
    <row r="465" spans="1:5" x14ac:dyDescent="0.25">
      <c r="A465" t="str">
        <f>"307997"</f>
        <v>307997</v>
      </c>
      <c r="B465" t="str">
        <f>"81983771903"</f>
        <v>81983771903</v>
      </c>
      <c r="C465" t="str">
        <f>"EVERYDAY COUNTER-ENC-HOPE (Pk/6)-J9902"</f>
        <v>EVERYDAY COUNTER-ENC-HOPE (Pk/6)-J9902</v>
      </c>
      <c r="D465" t="str">
        <f>"J9902"</f>
        <v>J9902</v>
      </c>
      <c r="E465" t="str">
        <f>"ED20E001"</f>
        <v>ED20E001</v>
      </c>
    </row>
    <row r="466" spans="1:5" x14ac:dyDescent="0.25">
      <c r="A466" t="str">
        <f>"308016"</f>
        <v>308016</v>
      </c>
      <c r="B466" t="str">
        <f>"81983562914"</f>
        <v>81983562914</v>
      </c>
      <c r="C466" t="str">
        <f>"EVERYDAY COUNTER-BUSY MOM ENCOURAGEMENT-66647"</f>
        <v>EVERYDAY COUNTER-BUSY MOM ENCOURAGEMENT-66647</v>
      </c>
      <c r="D466" t="str">
        <f>"66647"</f>
        <v>66647</v>
      </c>
      <c r="E466" t="str">
        <f>"ED20E002"</f>
        <v>ED20E002</v>
      </c>
    </row>
    <row r="467" spans="1:5" x14ac:dyDescent="0.25">
      <c r="A467" t="str">
        <f>"298752"</f>
        <v>298752</v>
      </c>
      <c r="B467" t="str">
        <f>"81983788727"</f>
        <v>81983788727</v>
      </c>
      <c r="C467" t="str">
        <f>"EVERYDAY COUNTER-ENC-CAREGIVERS-11750"</f>
        <v>EVERYDAY COUNTER-ENC-CAREGIVERS-11750</v>
      </c>
      <c r="D467" t="str">
        <f>"11750"</f>
        <v>11750</v>
      </c>
      <c r="E467" t="str">
        <f>"ED20E003"</f>
        <v>ED20E003</v>
      </c>
    </row>
    <row r="468" spans="1:5" x14ac:dyDescent="0.25">
      <c r="A468" t="str">
        <f>"345278"</f>
        <v>345278</v>
      </c>
      <c r="B468" t="str">
        <f>"81983794650"</f>
        <v>81983794650</v>
      </c>
      <c r="C468" t="str">
        <f>"EVERYDAY COUNTER-ENCOURAGEMENT PKG/6-U2684"</f>
        <v>EVERYDAY COUNTER-ENCOURAGEMENT PKG/6-U2684</v>
      </c>
      <c r="D468" t="str">
        <f>"U2684"</f>
        <v>U2684</v>
      </c>
      <c r="E468" t="str">
        <f>"ED20E004"</f>
        <v>ED20E004</v>
      </c>
    </row>
    <row r="469" spans="1:5" x14ac:dyDescent="0.25">
      <c r="A469" t="str">
        <f>"345279"</f>
        <v>345279</v>
      </c>
      <c r="B469" t="str">
        <f>"81983794667"</f>
        <v>81983794667</v>
      </c>
      <c r="C469" t="str">
        <f>"EVERYDAY COUNTER-ENCOURAGEMENT PKG/6-U2685"</f>
        <v>EVERYDAY COUNTER-ENCOURAGEMENT PKG/6-U2685</v>
      </c>
      <c r="D469" t="str">
        <f>"U2685"</f>
        <v>U2685</v>
      </c>
      <c r="E469" t="str">
        <f>"ED20E005"</f>
        <v>ED20E005</v>
      </c>
    </row>
    <row r="470" spans="1:5" x14ac:dyDescent="0.25">
      <c r="A470" t="str">
        <f>"279627"</f>
        <v>279627</v>
      </c>
      <c r="B470" t="str">
        <f>"81983757709"</f>
        <v>81983757709</v>
      </c>
      <c r="C470" t="str">
        <f>"EVERYDAY COUNTER-SYMPATHY PKG/6-J8218"</f>
        <v>EVERYDAY COUNTER-SYMPATHY PKG/6-J8218</v>
      </c>
      <c r="D470" t="str">
        <f>"J8218"</f>
        <v>J8218</v>
      </c>
      <c r="E470" t="str">
        <f>"ED20E006"</f>
        <v>ED20E006</v>
      </c>
    </row>
    <row r="471" spans="1:5" x14ac:dyDescent="0.25">
      <c r="A471" t="str">
        <f>"279616"</f>
        <v>279616</v>
      </c>
      <c r="B471" t="str">
        <f>"81983774522"</f>
        <v>81983774522</v>
      </c>
      <c r="C471" t="str">
        <f>"EVERYDAY COUNTER-SYMPATHY PKG/6-J8209"</f>
        <v>EVERYDAY COUNTER-SYMPATHY PKG/6-J8209</v>
      </c>
      <c r="D471" t="str">
        <f>"J8209"</f>
        <v>J8209</v>
      </c>
      <c r="E471" t="str">
        <f>"ED20E007"</f>
        <v>ED20E007</v>
      </c>
    </row>
    <row r="472" spans="1:5" x14ac:dyDescent="0.25">
      <c r="A472" t="str">
        <f>"298811"</f>
        <v>298811</v>
      </c>
      <c r="B472" t="str">
        <f>"81983772252"</f>
        <v>81983772252</v>
      </c>
      <c r="C472" t="str">
        <f>"EVERYDAY COUNTER-SYMPATHY - LOSS OF MOM-J9937"</f>
        <v>EVERYDAY COUNTER-SYMPATHY - LOSS OF MOM-J9937</v>
      </c>
      <c r="D472" t="str">
        <f>"J9937"</f>
        <v>J9937</v>
      </c>
      <c r="E472" t="str">
        <f>"ED20E008"</f>
        <v>ED20E008</v>
      </c>
    </row>
    <row r="473" spans="1:5" x14ac:dyDescent="0.25">
      <c r="A473" t="str">
        <f>"307975"</f>
        <v>307975</v>
      </c>
      <c r="B473" t="str">
        <f>"81983771910"</f>
        <v>81983771910</v>
      </c>
      <c r="C473" t="str">
        <f>"EVERYDAY COUNTER-ENC-HOPE-J9903"</f>
        <v>EVERYDAY COUNTER-ENC-HOPE-J9903</v>
      </c>
      <c r="D473" t="str">
        <f>"J9903"</f>
        <v>J9903</v>
      </c>
      <c r="E473" t="str">
        <f>"ED20E009"</f>
        <v>ED20E009</v>
      </c>
    </row>
    <row r="474" spans="1:5" x14ac:dyDescent="0.25">
      <c r="A474" t="str">
        <f>"298747"</f>
        <v>298747</v>
      </c>
      <c r="B474" t="str">
        <f>"81983790676"</f>
        <v>81983790676</v>
      </c>
      <c r="C474" t="str">
        <f>"EVERYDAY COUNTER-ENC-JOB LOSS-11743"</f>
        <v>EVERYDAY COUNTER-ENC-JOB LOSS-11743</v>
      </c>
      <c r="D474" t="str">
        <f>"11743"</f>
        <v>11743</v>
      </c>
      <c r="E474" t="str">
        <f>"ED20E010"</f>
        <v>ED20E010</v>
      </c>
    </row>
    <row r="475" spans="1:5" x14ac:dyDescent="0.25">
      <c r="A475" t="str">
        <f>"279581"</f>
        <v>279581</v>
      </c>
      <c r="B475" t="str">
        <f>"81983773372"</f>
        <v>81983773372</v>
      </c>
      <c r="C475" t="str">
        <f>"EVERYDAY COUNTER-ENCOURAGEMENT - CAREGIVER PKG/6-J8181"</f>
        <v>EVERYDAY COUNTER-ENCOURAGEMENT - CAREGIVER PKG/6-J8181</v>
      </c>
      <c r="D475" t="str">
        <f>"J8181"</f>
        <v>J8181</v>
      </c>
      <c r="E475" t="str">
        <f>"ED20E011"</f>
        <v>ED20E011</v>
      </c>
    </row>
    <row r="476" spans="1:5" x14ac:dyDescent="0.25">
      <c r="A476" t="str">
        <f>"345280"</f>
        <v>345280</v>
      </c>
      <c r="B476" t="str">
        <f>"81983794674"</f>
        <v>81983794674</v>
      </c>
      <c r="C476" t="str">
        <f>"EVERYDAY COUNTER-ENCOURAGEMENT PKG/6-U2686"</f>
        <v>EVERYDAY COUNTER-ENCOURAGEMENT PKG/6-U2686</v>
      </c>
      <c r="D476" t="str">
        <f>"U2686"</f>
        <v>U2686</v>
      </c>
      <c r="E476" t="str">
        <f>"ED20E012"</f>
        <v>ED20E012</v>
      </c>
    </row>
    <row r="477" spans="1:5" x14ac:dyDescent="0.25">
      <c r="A477" t="str">
        <f>"345281"</f>
        <v>345281</v>
      </c>
      <c r="B477" t="str">
        <f>"81983794681"</f>
        <v>81983794681</v>
      </c>
      <c r="C477" t="str">
        <f>"EVERYDAY COUNTER-ENCOURAGEMENT PKG/6-U2687"</f>
        <v>EVERYDAY COUNTER-ENCOURAGEMENT PKG/6-U2687</v>
      </c>
      <c r="D477" t="str">
        <f>"U2687"</f>
        <v>U2687</v>
      </c>
      <c r="E477" t="str">
        <f>"ED20E013"</f>
        <v>ED20E013</v>
      </c>
    </row>
    <row r="478" spans="1:5" x14ac:dyDescent="0.25">
      <c r="A478" t="str">
        <f>"279621"</f>
        <v>279621</v>
      </c>
      <c r="B478" t="str">
        <f>"81983757655"</f>
        <v>81983757655</v>
      </c>
      <c r="C478" t="str">
        <f>"EVERYDAY COUNTER-SYMPATHY PKG/6-J8213"</f>
        <v>EVERYDAY COUNTER-SYMPATHY PKG/6-J8213</v>
      </c>
      <c r="D478" t="str">
        <f>"J8213"</f>
        <v>J8213</v>
      </c>
      <c r="E478" t="str">
        <f>"ED20E014"</f>
        <v>ED20E014</v>
      </c>
    </row>
    <row r="479" spans="1:5" x14ac:dyDescent="0.25">
      <c r="A479" t="str">
        <f>"298805"</f>
        <v>298805</v>
      </c>
      <c r="B479" t="str">
        <f>"81983603495"</f>
        <v>81983603495</v>
      </c>
      <c r="C479" t="str">
        <f>"EVERYDAY COUNTER-SYMPATHY-43975"</f>
        <v>EVERYDAY COUNTER-SYMPATHY-43975</v>
      </c>
      <c r="D479" t="str">
        <f>"43975"</f>
        <v>43975</v>
      </c>
      <c r="E479" t="str">
        <f>"ED20E015"</f>
        <v>ED20E015</v>
      </c>
    </row>
    <row r="480" spans="1:5" x14ac:dyDescent="0.25">
      <c r="A480" t="str">
        <f>"308097"</f>
        <v>308097</v>
      </c>
      <c r="B480" t="str">
        <f>"81983567988"</f>
        <v>81983567988</v>
      </c>
      <c r="C480" t="str">
        <f>"EVERYDAY COUNTER-SYMPATHY - LOSS OF MOM-75412"</f>
        <v>EVERYDAY COUNTER-SYMPATHY - LOSS OF MOM-75412</v>
      </c>
      <c r="D480" t="str">
        <f>"75412"</f>
        <v>75412</v>
      </c>
      <c r="E480" t="str">
        <f>"ED20E016"</f>
        <v>ED20E016</v>
      </c>
    </row>
    <row r="481" spans="1:5" x14ac:dyDescent="0.25">
      <c r="A481" t="str">
        <f>"307919"</f>
        <v>307919</v>
      </c>
      <c r="B481" t="str">
        <f>"81983612794"</f>
        <v>81983612794</v>
      </c>
      <c r="C481" t="str">
        <f>"EVERYDAY COUNTER-ENC-HOPE-44424"</f>
        <v>EVERYDAY COUNTER-ENC-HOPE-44424</v>
      </c>
      <c r="D481" t="str">
        <f>"44424"</f>
        <v>44424</v>
      </c>
      <c r="E481" t="str">
        <f>"ED20E017"</f>
        <v>ED20E017</v>
      </c>
    </row>
    <row r="482" spans="1:5" x14ac:dyDescent="0.25">
      <c r="A482" t="str">
        <f>"345239"</f>
        <v>345239</v>
      </c>
      <c r="B482" t="str">
        <f>"81983793622"</f>
        <v>81983793622</v>
      </c>
      <c r="C482" t="str">
        <f>"EVERYDAY COUNTER-ENCOURAGEMENT BLANK PKG/6"</f>
        <v>EVERYDAY COUNTER-ENCOURAGEMENT BLANK PKG/6</v>
      </c>
      <c r="D482" t="str">
        <f>"U2578"</f>
        <v>U2578</v>
      </c>
      <c r="E482" t="str">
        <f>"ED20E018"</f>
        <v>ED20E018</v>
      </c>
    </row>
    <row r="483" spans="1:5" x14ac:dyDescent="0.25">
      <c r="A483" t="str">
        <f>"308058"</f>
        <v>308058</v>
      </c>
      <c r="B483" t="str">
        <f>"81983771811"</f>
        <v>81983771811</v>
      </c>
      <c r="C483" t="str">
        <f>"EVERYDAY COUNTER-ENCOURAGEMENT TO KID-J9893"</f>
        <v>EVERYDAY COUNTER-ENCOURAGEMENT TO KID-J9893</v>
      </c>
      <c r="D483" t="str">
        <f>"J9893"</f>
        <v>J9893</v>
      </c>
      <c r="E483" t="str">
        <f>"ED20E019"</f>
        <v>ED20E019</v>
      </c>
    </row>
    <row r="484" spans="1:5" x14ac:dyDescent="0.25">
      <c r="A484" t="str">
        <f>"345282"</f>
        <v>345282</v>
      </c>
      <c r="B484" t="str">
        <f>"81983794698"</f>
        <v>81983794698</v>
      </c>
      <c r="C484" t="str">
        <f>"EVERYDAY COUNTER-ENCOURAGEMENT PKG/6-U2688"</f>
        <v>EVERYDAY COUNTER-ENCOURAGEMENT PKG/6-U2688</v>
      </c>
      <c r="D484" t="str">
        <f>"U2688"</f>
        <v>U2688</v>
      </c>
      <c r="E484" t="str">
        <f>"ED20E020"</f>
        <v>ED20E020</v>
      </c>
    </row>
    <row r="485" spans="1:5" x14ac:dyDescent="0.25">
      <c r="A485" t="str">
        <f>"345283"</f>
        <v>345283</v>
      </c>
      <c r="B485" t="str">
        <f>"81983794704"</f>
        <v>81983794704</v>
      </c>
      <c r="C485" t="str">
        <f>"EVERYDAY COUNTER-ENCOURAGEMENT PKG/6-U2689"</f>
        <v>EVERYDAY COUNTER-ENCOURAGEMENT PKG/6-U2689</v>
      </c>
      <c r="D485" t="str">
        <f>"U2689"</f>
        <v>U2689</v>
      </c>
      <c r="E485" t="str">
        <f>"ED20E021"</f>
        <v>ED20E021</v>
      </c>
    </row>
    <row r="486" spans="1:5" x14ac:dyDescent="0.25">
      <c r="A486" t="str">
        <f>"298807"</f>
        <v>298807</v>
      </c>
      <c r="B486" t="str">
        <f>"81983603679"</f>
        <v>81983603679</v>
      </c>
      <c r="C486" t="str">
        <f>"EVERYDAY COUNTER-SYMPATHY-43980"</f>
        <v>EVERYDAY COUNTER-SYMPATHY-43980</v>
      </c>
      <c r="D486" t="str">
        <f>"43980"</f>
        <v>43980</v>
      </c>
      <c r="E486" t="str">
        <f>"ED20E022"</f>
        <v>ED20E022</v>
      </c>
    </row>
    <row r="487" spans="1:5" x14ac:dyDescent="0.25">
      <c r="A487" t="str">
        <f>"298810"</f>
        <v>298810</v>
      </c>
      <c r="B487" t="str">
        <f>"81983678424"</f>
        <v>81983678424</v>
      </c>
      <c r="C487" t="str">
        <f>"EVERYDAY COUNTER-SYMPATHY-43984"</f>
        <v>EVERYDAY COUNTER-SYMPATHY-43984</v>
      </c>
      <c r="D487" t="str">
        <f>"43984"</f>
        <v>43984</v>
      </c>
      <c r="E487" t="str">
        <f>"ED20E023"</f>
        <v>ED20E023</v>
      </c>
    </row>
    <row r="488" spans="1:5" x14ac:dyDescent="0.25">
      <c r="A488" t="str">
        <f>"298812"</f>
        <v>298812</v>
      </c>
      <c r="B488" t="str">
        <f>"81983603075"</f>
        <v>81983603075</v>
      </c>
      <c r="C488" t="str">
        <f>"EVERYDAY COUNTER-SYMPATHY - LOSS OF MOM-43989"</f>
        <v>EVERYDAY COUNTER-SYMPATHY - LOSS OF MOM-43989</v>
      </c>
      <c r="D488" t="str">
        <f>"43989"</f>
        <v>43989</v>
      </c>
      <c r="E488" t="str">
        <f>"ED20E024"</f>
        <v>ED20E024</v>
      </c>
    </row>
    <row r="489" spans="1:5" x14ac:dyDescent="0.25">
      <c r="A489" t="str">
        <f>"307939"</f>
        <v>307939</v>
      </c>
      <c r="B489" t="str">
        <f>"81983771958"</f>
        <v>81983771958</v>
      </c>
      <c r="C489" t="str">
        <f>"EVERYDAY COUNTER-HOPE-J9907"</f>
        <v>EVERYDAY COUNTER-HOPE-J9907</v>
      </c>
      <c r="D489" t="str">
        <f>"J9907"</f>
        <v>J9907</v>
      </c>
      <c r="E489" t="str">
        <f>"ED20E025"</f>
        <v>ED20E025</v>
      </c>
    </row>
    <row r="490" spans="1:5" x14ac:dyDescent="0.25">
      <c r="A490" t="str">
        <f>"308009"</f>
        <v>308009</v>
      </c>
      <c r="B490" t="str">
        <f>"81983771828"</f>
        <v>81983771828</v>
      </c>
      <c r="C490" t="str">
        <f>"EVERYDAY COUNTER-ENCOURAGEMENT GENERAL-J9894"</f>
        <v>EVERYDAY COUNTER-ENCOURAGEMENT GENERAL-J9894</v>
      </c>
      <c r="D490" t="str">
        <f>"J9894"</f>
        <v>J9894</v>
      </c>
      <c r="E490" t="str">
        <f>"ED20E026"</f>
        <v>ED20E026</v>
      </c>
    </row>
    <row r="491" spans="1:5" x14ac:dyDescent="0.25">
      <c r="A491" t="str">
        <f>"308060"</f>
        <v>308060</v>
      </c>
      <c r="B491" t="str">
        <f>"81983643217"</f>
        <v>81983643217</v>
      </c>
      <c r="C491" t="str">
        <f>"EVERYDAY COUNTER-ENCOURAGEMENT TO KID-72813"</f>
        <v>EVERYDAY COUNTER-ENCOURAGEMENT TO KID-72813</v>
      </c>
      <c r="D491" t="str">
        <f>"72813"</f>
        <v>72813</v>
      </c>
      <c r="E491" t="str">
        <f>"ED20E027"</f>
        <v>ED20E027</v>
      </c>
    </row>
    <row r="492" spans="1:5" x14ac:dyDescent="0.25">
      <c r="A492" t="str">
        <f>"345284"</f>
        <v>345284</v>
      </c>
      <c r="B492" t="str">
        <f>"81983794711"</f>
        <v>81983794711</v>
      </c>
      <c r="C492" t="str">
        <f>"EVERYDAY COUNTER-ENCOURAGEMENT PKG/6-U2690"</f>
        <v>EVERYDAY COUNTER-ENCOURAGEMENT PKG/6-U2690</v>
      </c>
      <c r="D492" t="str">
        <f>"U2690"</f>
        <v>U2690</v>
      </c>
      <c r="E492" t="str">
        <f>"ED20E028"</f>
        <v>ED20E028</v>
      </c>
    </row>
    <row r="493" spans="1:5" x14ac:dyDescent="0.25">
      <c r="A493" t="str">
        <f>"345285"</f>
        <v>345285</v>
      </c>
      <c r="B493" t="str">
        <f>"81983794728"</f>
        <v>81983794728</v>
      </c>
      <c r="C493" t="str">
        <f>"EVERYDAY COUNTER-ENCOURAGEMENT PKG/6-U2691"</f>
        <v>EVERYDAY COUNTER-ENCOURAGEMENT PKG/6-U2691</v>
      </c>
      <c r="D493" t="str">
        <f>"U2691"</f>
        <v>U2691</v>
      </c>
      <c r="E493" t="str">
        <f>"ED20E029"</f>
        <v>ED20E029</v>
      </c>
    </row>
    <row r="494" spans="1:5" x14ac:dyDescent="0.25">
      <c r="A494" t="str">
        <f>"345259"</f>
        <v>345259</v>
      </c>
      <c r="B494" t="str">
        <f>"81983793783"</f>
        <v>81983793783</v>
      </c>
      <c r="C494" t="str">
        <f>"EVERYDAY COUNTER-SYMPATHY PKG/6-U2594"</f>
        <v>EVERYDAY COUNTER-SYMPATHY PKG/6-U2594</v>
      </c>
      <c r="D494" t="str">
        <f>"U2594"</f>
        <v>U2594</v>
      </c>
      <c r="E494" t="str">
        <f>"ED20E030"</f>
        <v>ED20E030</v>
      </c>
    </row>
    <row r="495" spans="1:5" x14ac:dyDescent="0.25">
      <c r="A495" t="str">
        <f>"298800"</f>
        <v>298800</v>
      </c>
      <c r="B495" t="str">
        <f>"81983512568"</f>
        <v>81983512568</v>
      </c>
      <c r="C495" t="str">
        <f>"EVERYDAY COUNTER-SYMPATHY-42541"</f>
        <v>EVERYDAY COUNTER-SYMPATHY-42541</v>
      </c>
      <c r="D495" t="str">
        <f>"42541"</f>
        <v>42541</v>
      </c>
      <c r="E495" t="str">
        <f>"ED20E031"</f>
        <v>ED20E031</v>
      </c>
    </row>
    <row r="496" spans="1:5" x14ac:dyDescent="0.25">
      <c r="A496" t="str">
        <f>"298813"</f>
        <v>298813</v>
      </c>
      <c r="B496" t="str">
        <f>"81983772238"</f>
        <v>81983772238</v>
      </c>
      <c r="C496" t="str">
        <f>"EVERYDAY COUNTER-SYMPATHY - LOSS OF DAD-J9935"</f>
        <v>EVERYDAY COUNTER-SYMPATHY - LOSS OF DAD-J9935</v>
      </c>
      <c r="D496" t="str">
        <f>"J9935"</f>
        <v>J9935</v>
      </c>
      <c r="E496" t="str">
        <f>"ED20E032"</f>
        <v>ED20E032</v>
      </c>
    </row>
    <row r="497" spans="1:5" x14ac:dyDescent="0.25">
      <c r="A497" t="str">
        <f>"345240"</f>
        <v>345240</v>
      </c>
      <c r="B497" t="str">
        <f>"81983793639"</f>
        <v>81983793639</v>
      </c>
      <c r="C497" t="str">
        <f>"EVERYDAY COUNTER-ENCOURAGEMENT CANCER PKG/6"</f>
        <v>EVERYDAY COUNTER-ENCOURAGEMENT CANCER PKG/6</v>
      </c>
      <c r="D497" t="str">
        <f>"U2579"</f>
        <v>U2579</v>
      </c>
      <c r="E497" t="str">
        <f>"ED20E033"</f>
        <v>ED20E033</v>
      </c>
    </row>
    <row r="498" spans="1:5" x14ac:dyDescent="0.25">
      <c r="A498" t="str">
        <f>"279583"</f>
        <v>279583</v>
      </c>
      <c r="B498" t="str">
        <f>"81983757358"</f>
        <v>81983757358</v>
      </c>
      <c r="C498" t="str">
        <f>"EVERYDAY COUNTER-ENCOURAGEMENT - DIFFICULT TIME PKG/6-J8183"</f>
        <v>EVERYDAY COUNTER-ENCOURAGEMENT - DIFFICULT TIME PKG/6-J8183</v>
      </c>
      <c r="D498" t="str">
        <f>"J8183"</f>
        <v>J8183</v>
      </c>
      <c r="E498" t="str">
        <f>"ED20E034"</f>
        <v>ED20E034</v>
      </c>
    </row>
    <row r="499" spans="1:5" x14ac:dyDescent="0.25">
      <c r="A499" t="str">
        <f>"308217"</f>
        <v>308217</v>
      </c>
      <c r="B499" t="str">
        <f>"81983677397"</f>
        <v>81983677397</v>
      </c>
      <c r="C499" t="str">
        <f>"EVERYDAY COUNTER-PRAYING FOR YOU PKG/6-91996"</f>
        <v>EVERYDAY COUNTER-PRAYING FOR YOU PKG/6-91996</v>
      </c>
      <c r="D499" t="str">
        <f>"91996"</f>
        <v>91996</v>
      </c>
      <c r="E499" t="str">
        <f>"ED20E035"</f>
        <v>ED20E035</v>
      </c>
    </row>
    <row r="500" spans="1:5" x14ac:dyDescent="0.25">
      <c r="A500" t="str">
        <f>"298719"</f>
        <v>298719</v>
      </c>
      <c r="B500" t="str">
        <f>"81983771996"</f>
        <v>81983771996</v>
      </c>
      <c r="C500" t="str">
        <f>"EVERYDAY COUNTER-GET WELL-CHILD-J9911"</f>
        <v>EVERYDAY COUNTER-GET WELL-CHILD-J9911</v>
      </c>
      <c r="D500" t="str">
        <f>"J9911"</f>
        <v>J9911</v>
      </c>
      <c r="E500" t="str">
        <f>"ED20E036"</f>
        <v>ED20E036</v>
      </c>
    </row>
    <row r="501" spans="1:5" x14ac:dyDescent="0.25">
      <c r="A501" t="str">
        <f>"345248"</f>
        <v>345248</v>
      </c>
      <c r="B501" t="str">
        <f>"81983793691"</f>
        <v>81983793691</v>
      </c>
      <c r="C501" t="str">
        <f>"EVERYDAY COUNTER-GET WELL HUMOR PKG/6"</f>
        <v>EVERYDAY COUNTER-GET WELL HUMOR PKG/6</v>
      </c>
      <c r="D501" t="str">
        <f>"U2585"</f>
        <v>U2585</v>
      </c>
      <c r="E501" t="str">
        <f>"ED20E037"</f>
        <v>ED20E037</v>
      </c>
    </row>
    <row r="502" spans="1:5" x14ac:dyDescent="0.25">
      <c r="A502" t="str">
        <f>"279618"</f>
        <v>279618</v>
      </c>
      <c r="B502" t="str">
        <f>"81983774539"</f>
        <v>81983774539</v>
      </c>
      <c r="C502" t="str">
        <f>"EVERYDAY COUNTER-SYMPATHY PKG/6-J8211"</f>
        <v>EVERYDAY COUNTER-SYMPATHY PKG/6-J8211</v>
      </c>
      <c r="D502" t="str">
        <f>"J8211"</f>
        <v>J8211</v>
      </c>
      <c r="E502" t="str">
        <f>"ED20E038"</f>
        <v>ED20E038</v>
      </c>
    </row>
    <row r="503" spans="1:5" x14ac:dyDescent="0.25">
      <c r="A503" t="str">
        <f>"298738"</f>
        <v>298738</v>
      </c>
      <c r="B503" t="str">
        <f>"81983593161"</f>
        <v>81983593161</v>
      </c>
      <c r="C503" t="str">
        <f>"EVERYDAY COUNTER-SYM-FOR ANYONE-11712"</f>
        <v>EVERYDAY COUNTER-SYM-FOR ANYONE-11712</v>
      </c>
      <c r="D503" t="str">
        <f>"11712"</f>
        <v>11712</v>
      </c>
      <c r="E503" t="str">
        <f>"ED20E039"</f>
        <v>ED20E039</v>
      </c>
    </row>
    <row r="504" spans="1:5" x14ac:dyDescent="0.25">
      <c r="A504" t="str">
        <f>"307891"</f>
        <v>307891</v>
      </c>
      <c r="B504" t="str">
        <f>"81983513039"</f>
        <v>81983513039</v>
      </c>
      <c r="C504" t="str">
        <f>"EVERYDAY COUNTER-SYMPATHY - LOSS OF DAD-43994"</f>
        <v>EVERYDAY COUNTER-SYMPATHY - LOSS OF DAD-43994</v>
      </c>
      <c r="D504" t="str">
        <f>"43994"</f>
        <v>43994</v>
      </c>
      <c r="E504" t="str">
        <f>"ED20E040"</f>
        <v>ED20E040</v>
      </c>
    </row>
    <row r="505" spans="1:5" x14ac:dyDescent="0.25">
      <c r="A505" t="str">
        <f>"308441"</f>
        <v>308441</v>
      </c>
      <c r="B505" t="str">
        <f>"81983721731"</f>
        <v>81983721731</v>
      </c>
      <c r="C505" t="str">
        <f>"EVERYDAY COUNTER-ENC- COPING WITH CANCER/GOD KNOWS PKG/6-J3425"</f>
        <v>EVERYDAY COUNTER-ENC- COPING WITH CANCER/GOD KNOWS PKG/6-J3425</v>
      </c>
      <c r="D505" t="str">
        <f>"J3425"</f>
        <v>J3425</v>
      </c>
      <c r="E505" t="str">
        <f>"ED20E041"</f>
        <v>ED20E041</v>
      </c>
    </row>
    <row r="506" spans="1:5" x14ac:dyDescent="0.25">
      <c r="A506" t="str">
        <f>"298684"</f>
        <v>298684</v>
      </c>
      <c r="B506" t="str">
        <f>"81983652066"</f>
        <v>81983652066</v>
      </c>
      <c r="C506" t="str">
        <f>"EVERYDAY COUNTER-ENC DIFFICULT TIME PKG/6-10255"</f>
        <v>EVERYDAY COUNTER-ENC DIFFICULT TIME PKG/6-10255</v>
      </c>
      <c r="D506" t="str">
        <f>"10255"</f>
        <v>10255</v>
      </c>
      <c r="E506" t="str">
        <f>"ED20E042"</f>
        <v>ED20E042</v>
      </c>
    </row>
    <row r="507" spans="1:5" x14ac:dyDescent="0.25">
      <c r="A507" t="str">
        <f>"345251"</f>
        <v>345251</v>
      </c>
      <c r="B507" t="str">
        <f>"81983793721"</f>
        <v>81983793721</v>
      </c>
      <c r="C507" t="str">
        <f>"EVERYDAY COUNTER-PRAYING FOR YOU PKG/6-U2588"</f>
        <v>EVERYDAY COUNTER-PRAYING FOR YOU PKG/6-U2588</v>
      </c>
      <c r="D507" t="str">
        <f>"U2588"</f>
        <v>U2588</v>
      </c>
      <c r="E507" t="str">
        <f>"ED20E043"</f>
        <v>ED20E043</v>
      </c>
    </row>
    <row r="508" spans="1:5" x14ac:dyDescent="0.25">
      <c r="A508" t="str">
        <f>"308450"</f>
        <v>308450</v>
      </c>
      <c r="B508" t="str">
        <f>"81983721854"</f>
        <v>81983721854</v>
      </c>
      <c r="C508" t="str">
        <f>"EVERYDAY COUNTER-GET WELL/JEHOVAH-RAPHA PKG/6-J3437"</f>
        <v>EVERYDAY COUNTER-GET WELL/JEHOVAH-RAPHA PKG/6-J3437</v>
      </c>
      <c r="D508" t="str">
        <f>"J3437"</f>
        <v>J3437</v>
      </c>
      <c r="E508" t="str">
        <f>"ED20E044"</f>
        <v>ED20E044</v>
      </c>
    </row>
    <row r="509" spans="1:5" x14ac:dyDescent="0.25">
      <c r="A509" t="str">
        <f>"308455"</f>
        <v>308455</v>
      </c>
      <c r="B509" t="str">
        <f>"81983721885"</f>
        <v>81983721885</v>
      </c>
      <c r="C509" t="str">
        <f>"EVERYDAY COUNTER-GET WELL/A CHEERFUL HEART  PKG/6-J3440"</f>
        <v>EVERYDAY COUNTER-GET WELL/A CHEERFUL HEART  PKG/6-J3440</v>
      </c>
      <c r="D509" t="str">
        <f>"J3440"</f>
        <v>J3440</v>
      </c>
      <c r="E509" t="str">
        <f>"ED20E045"</f>
        <v>ED20E045</v>
      </c>
    </row>
    <row r="510" spans="1:5" x14ac:dyDescent="0.25">
      <c r="A510" t="str">
        <f>"308072"</f>
        <v>308072</v>
      </c>
      <c r="B510" t="str">
        <f>"81983774454"</f>
        <v>81983774454</v>
      </c>
      <c r="C510" t="str">
        <f>"EVERYDAY COUNTER-SYMPATHY-72852"</f>
        <v>EVERYDAY COUNTER-SYMPATHY-72852</v>
      </c>
      <c r="D510" t="str">
        <f>"72852"</f>
        <v>72852</v>
      </c>
      <c r="E510" t="str">
        <f>"ED20E046"</f>
        <v>ED20E046</v>
      </c>
    </row>
    <row r="511" spans="1:5" x14ac:dyDescent="0.25">
      <c r="A511" t="str">
        <f>"298733"</f>
        <v>298733</v>
      </c>
      <c r="B511" t="str">
        <f>"81983774423"</f>
        <v>81983774423</v>
      </c>
      <c r="C511" t="str">
        <f>"EVERYDAY COUNTER-SYM-FOR ANYONE (PACK OF 6)"</f>
        <v>EVERYDAY COUNTER-SYM-FOR ANYONE (PACK OF 6)</v>
      </c>
      <c r="D511" t="str">
        <f>"11701"</f>
        <v>11701</v>
      </c>
      <c r="E511" t="str">
        <f>"ED20E047"</f>
        <v>ED20E047</v>
      </c>
    </row>
    <row r="512" spans="1:5" x14ac:dyDescent="0.25">
      <c r="A512" t="str">
        <f>"307890"</f>
        <v>307890</v>
      </c>
      <c r="B512" t="str">
        <f>"81983513022"</f>
        <v>81983513022</v>
      </c>
      <c r="C512" t="str">
        <f>"EVERYDAY COUNTER-SYMPATHY - LOSS OF DAD-43993"</f>
        <v>EVERYDAY COUNTER-SYMPATHY - LOSS OF DAD-43993</v>
      </c>
      <c r="D512" t="str">
        <f>"43993"</f>
        <v>43993</v>
      </c>
      <c r="E512" t="str">
        <f>"ED20E048"</f>
        <v>ED20E048</v>
      </c>
    </row>
    <row r="513" spans="1:5" x14ac:dyDescent="0.25">
      <c r="A513" t="str">
        <f>"308267"</f>
        <v>308267</v>
      </c>
      <c r="B513" t="str">
        <f>"81983612589"</f>
        <v>81983612589</v>
      </c>
      <c r="C513" t="str">
        <f>"EVERYDAY COUNTER-ENC-SERIOUS ILLNESS-44149"</f>
        <v>EVERYDAY COUNTER-ENC-SERIOUS ILLNESS-44149</v>
      </c>
      <c r="D513" t="str">
        <f>"44149"</f>
        <v>44149</v>
      </c>
      <c r="E513" t="str">
        <f>"ED20E049"</f>
        <v>ED20E049</v>
      </c>
    </row>
    <row r="514" spans="1:5" x14ac:dyDescent="0.25">
      <c r="A514" t="str">
        <f>"308443"</f>
        <v>308443</v>
      </c>
      <c r="B514" t="str">
        <f>"81983721755"</f>
        <v>81983721755</v>
      </c>
      <c r="C514" t="str">
        <f>"EVERYDAY COUNTER-DIFFICULT TIME/NOTHING ABOUT WHAT YOU'RE GOING THROUGH PKG/6-J3427"</f>
        <v>EVERYDAY COUNTER-DIFFICULT TIME/NOTHING ABOUT WHAT YOU'RE GOING THROUGH PKG/6-J3427</v>
      </c>
      <c r="D514" t="str">
        <f>"J3427"</f>
        <v>J3427</v>
      </c>
      <c r="E514" t="str">
        <f>"ED20E050"</f>
        <v>ED20E050</v>
      </c>
    </row>
    <row r="515" spans="1:5" x14ac:dyDescent="0.25">
      <c r="A515" t="str">
        <f>"279597"</f>
        <v>279597</v>
      </c>
      <c r="B515" t="str">
        <f>"81983757471"</f>
        <v>81983757471</v>
      </c>
      <c r="C515" t="str">
        <f>"EVERYDAY COUNTER-PRAYING FOR YOU PKG/6-J8195"</f>
        <v>EVERYDAY COUNTER-PRAYING FOR YOU PKG/6-J8195</v>
      </c>
      <c r="D515" t="str">
        <f>"J8195"</f>
        <v>J8195</v>
      </c>
      <c r="E515" t="str">
        <f>"ED20E051"</f>
        <v>ED20E051</v>
      </c>
    </row>
    <row r="516" spans="1:5" x14ac:dyDescent="0.25">
      <c r="A516" t="str">
        <f>"345247"</f>
        <v>345247</v>
      </c>
      <c r="B516" t="str">
        <f>"81983793684"</f>
        <v>81983793684</v>
      </c>
      <c r="C516" t="str">
        <f>"EVERYDAY COUNTER-GET WELL PKG/6-U2584"</f>
        <v>EVERYDAY COUNTER-GET WELL PKG/6-U2584</v>
      </c>
      <c r="D516" t="str">
        <f>"U2584"</f>
        <v>U2584</v>
      </c>
      <c r="E516" t="str">
        <f>"ED20E052"</f>
        <v>ED20E052</v>
      </c>
    </row>
    <row r="517" spans="1:5" x14ac:dyDescent="0.25">
      <c r="A517" t="str">
        <f>"308258"</f>
        <v>308258</v>
      </c>
      <c r="B517" t="str">
        <f>"81983679063"</f>
        <v>81983679063</v>
      </c>
      <c r="C517" t="str">
        <f>"EVERYDAY COUNTER-GET WELL PKG/6-92200"</f>
        <v>EVERYDAY COUNTER-GET WELL PKG/6-92200</v>
      </c>
      <c r="D517" t="str">
        <f>"92200"</f>
        <v>92200</v>
      </c>
      <c r="E517" t="str">
        <f>"ED20E053"</f>
        <v>ED20E053</v>
      </c>
    </row>
    <row r="518" spans="1:5" x14ac:dyDescent="0.25">
      <c r="A518" t="str">
        <f>"298735"</f>
        <v>298735</v>
      </c>
      <c r="B518" t="str">
        <f>"81983774430"</f>
        <v>81983774430</v>
      </c>
      <c r="C518" t="str">
        <f>"EVERYDAY COUNTER-SYM-FOR ANYONE-11706"</f>
        <v>EVERYDAY COUNTER-SYM-FOR ANYONE-11706</v>
      </c>
      <c r="D518" t="str">
        <f>"11706"</f>
        <v>11706</v>
      </c>
      <c r="E518" t="str">
        <f>"ED20E054"</f>
        <v>ED20E054</v>
      </c>
    </row>
    <row r="519" spans="1:5" x14ac:dyDescent="0.25">
      <c r="A519" t="str">
        <f>"308271"</f>
        <v>308271</v>
      </c>
      <c r="B519" t="str">
        <f>"81983774393"</f>
        <v>81983774393</v>
      </c>
      <c r="C519" t="str">
        <f>"EVERYDAY COUNTER-SYMPATHY-72952"</f>
        <v>EVERYDAY COUNTER-SYMPATHY-72952</v>
      </c>
      <c r="D519" t="str">
        <f>"72952"</f>
        <v>72952</v>
      </c>
      <c r="E519" t="str">
        <f>"ED20E055"</f>
        <v>ED20E055</v>
      </c>
    </row>
    <row r="520" spans="1:5" x14ac:dyDescent="0.25">
      <c r="A520" t="str">
        <f>"345263"</f>
        <v>345263</v>
      </c>
      <c r="B520" t="str">
        <f>"81983793820"</f>
        <v>81983793820</v>
      </c>
      <c r="C520" t="str">
        <f>"EVERYDAY COUNTER-SYMPATHY/LOSS OF WIFE PKG/6"</f>
        <v>EVERYDAY COUNTER-SYMPATHY/LOSS OF WIFE PKG/6</v>
      </c>
      <c r="D520" t="str">
        <f>"U2598"</f>
        <v>U2598</v>
      </c>
      <c r="E520" t="str">
        <f>"ED20E056"</f>
        <v>ED20E056</v>
      </c>
    </row>
    <row r="521" spans="1:5" x14ac:dyDescent="0.25">
      <c r="A521" t="str">
        <f>"279589"</f>
        <v>279589</v>
      </c>
      <c r="B521" t="str">
        <f>"81983757402"</f>
        <v>81983757402</v>
      </c>
      <c r="C521" t="str">
        <f>"EVERYDAY COUNTER-ENCOURAGEMENT - SERIOUS ILLNES PKG/6-J8188"</f>
        <v>EVERYDAY COUNTER-ENCOURAGEMENT - SERIOUS ILLNES PKG/6-J8188</v>
      </c>
      <c r="D521" t="str">
        <f>"J8188"</f>
        <v>J8188</v>
      </c>
      <c r="E521" t="str">
        <f>"ED20E057"</f>
        <v>ED20E057</v>
      </c>
    </row>
    <row r="522" spans="1:5" x14ac:dyDescent="0.25">
      <c r="A522" t="str">
        <f>"307907"</f>
        <v>307907</v>
      </c>
      <c r="B522" t="str">
        <f>"81983612626"</f>
        <v>81983612626</v>
      </c>
      <c r="C522" t="str">
        <f>"EVERYDAY COUNTER-ENCOURAGEMENT - DIFFICULT RELATION SHIP-44163"</f>
        <v>EVERYDAY COUNTER-ENCOURAGEMENT - DIFFICULT RELATION SHIP-44163</v>
      </c>
      <c r="D522" t="str">
        <f>"44163"</f>
        <v>44163</v>
      </c>
      <c r="E522" t="str">
        <f>"ED20E058"</f>
        <v>ED20E058</v>
      </c>
    </row>
    <row r="523" spans="1:5" x14ac:dyDescent="0.25">
      <c r="A523" t="str">
        <f>"279599"</f>
        <v>279599</v>
      </c>
      <c r="B523" t="str">
        <f>"81983757488"</f>
        <v>81983757488</v>
      </c>
      <c r="C523" t="str">
        <f>"EVERYDAY COUNTER-PRAYING FOR YOU PKG/6-J8196"</f>
        <v>EVERYDAY COUNTER-PRAYING FOR YOU PKG/6-J8196</v>
      </c>
      <c r="D523" t="str">
        <f>"J8196"</f>
        <v>J8196</v>
      </c>
      <c r="E523" t="str">
        <f>"ED20E059"</f>
        <v>ED20E059</v>
      </c>
    </row>
    <row r="524" spans="1:5" x14ac:dyDescent="0.25">
      <c r="A524" t="str">
        <f>"308066"</f>
        <v>308066</v>
      </c>
      <c r="B524" t="str">
        <f>"81983773495"</f>
        <v>81983773495</v>
      </c>
      <c r="C524" t="str">
        <f>"EVERYDAY COUNTER-GET WELL-72816"</f>
        <v>EVERYDAY COUNTER-GET WELL-72816</v>
      </c>
      <c r="D524" t="str">
        <f>"72816"</f>
        <v>72816</v>
      </c>
      <c r="E524" t="str">
        <f>"ED20E060"</f>
        <v>ED20E060</v>
      </c>
    </row>
    <row r="525" spans="1:5" x14ac:dyDescent="0.25">
      <c r="A525" t="str">
        <f>"298775"</f>
        <v>298775</v>
      </c>
      <c r="B525" t="str">
        <f>"81983594205"</f>
        <v>81983594205</v>
      </c>
      <c r="C525" t="str">
        <f>"EVERYDAY COUNTER-GET WELL-FOR ANYONE-16023"</f>
        <v>EVERYDAY COUNTER-GET WELL-FOR ANYONE-16023</v>
      </c>
      <c r="D525" t="str">
        <f>"16023"</f>
        <v>16023</v>
      </c>
      <c r="E525" t="str">
        <f>"ED20E061"</f>
        <v>ED20E061</v>
      </c>
    </row>
    <row r="526" spans="1:5" x14ac:dyDescent="0.25">
      <c r="A526" t="str">
        <f>"308011"</f>
        <v>308011</v>
      </c>
      <c r="B526" t="str">
        <f>"81983678592"</f>
        <v>81983678592</v>
      </c>
      <c r="C526" t="str">
        <f>"EVERYDAY COUNTER-SYMPATHY ANYONE-60335"</f>
        <v>EVERYDAY COUNTER-SYMPATHY ANYONE-60335</v>
      </c>
      <c r="D526" t="str">
        <f>"60335"</f>
        <v>60335</v>
      </c>
      <c r="E526" t="str">
        <f>"ED20E062"</f>
        <v>ED20E062</v>
      </c>
    </row>
    <row r="527" spans="1:5" x14ac:dyDescent="0.25">
      <c r="A527" t="str">
        <f>"298736"</f>
        <v>298736</v>
      </c>
      <c r="B527" t="str">
        <f>"81983593123"</f>
        <v>81983593123</v>
      </c>
      <c r="C527" t="str">
        <f>"EVERYDAY COUNTER-SYM-FOR ANYONE-11708"</f>
        <v>EVERYDAY COUNTER-SYM-FOR ANYONE-11708</v>
      </c>
      <c r="D527" t="str">
        <f>"11708"</f>
        <v>11708</v>
      </c>
      <c r="E527" t="str">
        <f>"ED20E063"</f>
        <v>ED20E063</v>
      </c>
    </row>
    <row r="528" spans="1:5" x14ac:dyDescent="0.25">
      <c r="A528" t="str">
        <f>"308224"</f>
        <v>308224</v>
      </c>
      <c r="B528" t="str">
        <f>"81983774614"</f>
        <v>81983774614</v>
      </c>
      <c r="C528" t="str">
        <f>"EVERYDAY COUNTER-SYM-LOSS OF HUSBAND PKG/6-92001"</f>
        <v>EVERYDAY COUNTER-SYM-LOSS OF HUSBAND PKG/6-92001</v>
      </c>
      <c r="D528" t="str">
        <f>"92001"</f>
        <v>92001</v>
      </c>
      <c r="E528" t="str">
        <f>"ED20E064"</f>
        <v>ED20E064</v>
      </c>
    </row>
    <row r="529" spans="1:5" x14ac:dyDescent="0.25">
      <c r="A529" t="str">
        <f>"308019"</f>
        <v>308019</v>
      </c>
      <c r="B529" t="str">
        <f>"81983771859"</f>
        <v>81983771859</v>
      </c>
      <c r="C529" t="str">
        <f>"EVERYDAY COUNTER-DEPRESSION ENCOURAGEMENT-J9897"</f>
        <v>EVERYDAY COUNTER-DEPRESSION ENCOURAGEMENT-J9897</v>
      </c>
      <c r="D529" t="str">
        <f>"J9897"</f>
        <v>J9897</v>
      </c>
      <c r="E529" t="str">
        <f>"ED20E065"</f>
        <v>ED20E065</v>
      </c>
    </row>
    <row r="530" spans="1:5" x14ac:dyDescent="0.25">
      <c r="A530" t="str">
        <f>"308020"</f>
        <v>308020</v>
      </c>
      <c r="B530" t="str">
        <f>"81983562952"</f>
        <v>81983562952</v>
      </c>
      <c r="C530" t="str">
        <f>"EVERYDAY COUNTER-DIFFICULT RELATIONSHIP-66651"</f>
        <v>EVERYDAY COUNTER-DIFFICULT RELATIONSHIP-66651</v>
      </c>
      <c r="D530" t="str">
        <f>"66651"</f>
        <v>66651</v>
      </c>
      <c r="E530" t="str">
        <f>"ED20E066"</f>
        <v>ED20E066</v>
      </c>
    </row>
    <row r="531" spans="1:5" x14ac:dyDescent="0.25">
      <c r="A531" t="str">
        <f>"345250"</f>
        <v>345250</v>
      </c>
      <c r="B531" t="str">
        <f>"81983793714"</f>
        <v>81983793714</v>
      </c>
      <c r="C531" t="str">
        <f>"EVERYDAY COUNTER-PRAYING FOR YOU PKG/6-U2587"</f>
        <v>EVERYDAY COUNTER-PRAYING FOR YOU PKG/6-U2587</v>
      </c>
      <c r="D531" t="str">
        <f>"U2587"</f>
        <v>U2587</v>
      </c>
      <c r="E531" t="str">
        <f>"ED20E067"</f>
        <v>ED20E067</v>
      </c>
    </row>
    <row r="532" spans="1:5" x14ac:dyDescent="0.25">
      <c r="A532" t="str">
        <f>"279593"</f>
        <v>279593</v>
      </c>
      <c r="B532" t="str">
        <f>"81983757440"</f>
        <v>81983757440</v>
      </c>
      <c r="C532" t="str">
        <f>"EVERYDAY COUNTER-GET WELL PKG/6-J8192"</f>
        <v>EVERYDAY COUNTER-GET WELL PKG/6-J8192</v>
      </c>
      <c r="D532" t="str">
        <f>"J8192"</f>
        <v>J8192</v>
      </c>
      <c r="E532" t="str">
        <f>"ED20E068"</f>
        <v>ED20E068</v>
      </c>
    </row>
    <row r="533" spans="1:5" x14ac:dyDescent="0.25">
      <c r="A533" t="str">
        <f>"308451"</f>
        <v>308451</v>
      </c>
      <c r="B533" t="str">
        <f>"81983721861"</f>
        <v>81983721861</v>
      </c>
      <c r="C533" t="str">
        <f>"EVERYDAY COUNTER-GET WELL/THREE PLANTERS PKG/6-J3438"</f>
        <v>EVERYDAY COUNTER-GET WELL/THREE PLANTERS PKG/6-J3438</v>
      </c>
      <c r="D533" t="str">
        <f>"J3438"</f>
        <v>J3438</v>
      </c>
      <c r="E533" t="str">
        <f>"ED20E069"</f>
        <v>ED20E069</v>
      </c>
    </row>
    <row r="534" spans="1:5" x14ac:dyDescent="0.25">
      <c r="A534" t="str">
        <f>"298729"</f>
        <v>298729</v>
      </c>
      <c r="B534" t="str">
        <f>"81983772221"</f>
        <v>81983772221</v>
      </c>
      <c r="C534" t="str">
        <f>"EVERYDAY COUNTER-SYM-FOR ANYONE-J9934"</f>
        <v>EVERYDAY COUNTER-SYM-FOR ANYONE-J9934</v>
      </c>
      <c r="D534" t="str">
        <f>"J9934"</f>
        <v>J9934</v>
      </c>
      <c r="E534" t="str">
        <f>"ED20E070"</f>
        <v>ED20E070</v>
      </c>
    </row>
    <row r="535" spans="1:5" x14ac:dyDescent="0.25">
      <c r="A535" t="str">
        <f>"308074"</f>
        <v>308074</v>
      </c>
      <c r="B535" t="str">
        <f>"81983774416"</f>
        <v>81983774416</v>
      </c>
      <c r="C535" t="str">
        <f>"EVERYDAY COUNTER-SYMPATHY-72855"</f>
        <v>EVERYDAY COUNTER-SYMPATHY-72855</v>
      </c>
      <c r="D535" t="str">
        <f>"72855"</f>
        <v>72855</v>
      </c>
      <c r="E535" t="str">
        <f>"ED20E071"</f>
        <v>ED20E071</v>
      </c>
    </row>
    <row r="536" spans="1:5" x14ac:dyDescent="0.25">
      <c r="A536" t="str">
        <f>"307932"</f>
        <v>307932</v>
      </c>
      <c r="B536" t="str">
        <f>"81983772245"</f>
        <v>81983772245</v>
      </c>
      <c r="C536" t="str">
        <f>"EVERYDAY COUNTER-SYMPATHY - LOSS OF HUSBAND-J9936"</f>
        <v>EVERYDAY COUNTER-SYMPATHY - LOSS OF HUSBAND-J9936</v>
      </c>
      <c r="D536" t="str">
        <f>"J9936"</f>
        <v>J9936</v>
      </c>
      <c r="E536" t="str">
        <f>"ED20E072"</f>
        <v>ED20E072</v>
      </c>
    </row>
    <row r="537" spans="1:5" x14ac:dyDescent="0.25">
      <c r="A537" t="str">
        <f>"279582"</f>
        <v>279582</v>
      </c>
      <c r="B537" t="str">
        <f>"81983757341"</f>
        <v>81983757341</v>
      </c>
      <c r="C537" t="str">
        <f>"EVERYDAY COUNTER-ENCOURAGEMENT - DEPRESSION PKG/6-J8182"</f>
        <v>EVERYDAY COUNTER-ENCOURAGEMENT - DEPRESSION PKG/6-J8182</v>
      </c>
      <c r="D537" t="str">
        <f>"J8182"</f>
        <v>J8182</v>
      </c>
      <c r="E537" t="str">
        <f>"ED20E073"</f>
        <v>ED20E073</v>
      </c>
    </row>
    <row r="538" spans="1:5" x14ac:dyDescent="0.25">
      <c r="A538" t="str">
        <f>"308442"</f>
        <v>308442</v>
      </c>
      <c r="B538" t="str">
        <f>"81983721748"</f>
        <v>81983721748</v>
      </c>
      <c r="C538" t="str">
        <f>"EVERYDAY COUNTER-ENC- DIFFICULT RELATIONSHIP/COFFEE PKG/6-J3426"</f>
        <v>EVERYDAY COUNTER-ENC- DIFFICULT RELATIONSHIP/COFFEE PKG/6-J3426</v>
      </c>
      <c r="D538" t="str">
        <f>"J3426"</f>
        <v>J3426</v>
      </c>
      <c r="E538" t="str">
        <f>"ED20E074"</f>
        <v>ED20E074</v>
      </c>
    </row>
    <row r="539" spans="1:5" x14ac:dyDescent="0.25">
      <c r="A539" t="str">
        <f>"308085"</f>
        <v>308085</v>
      </c>
      <c r="B539" t="str">
        <f>"81983589195"</f>
        <v>81983589195</v>
      </c>
      <c r="C539" t="str">
        <f>"EVERYDAY COUNTER-PFY - FOR ANYONE-75294"</f>
        <v>EVERYDAY COUNTER-PFY - FOR ANYONE-75294</v>
      </c>
      <c r="D539" t="str">
        <f>"75294"</f>
        <v>75294</v>
      </c>
      <c r="E539" t="str">
        <f>"ED20E075"</f>
        <v>ED20E075</v>
      </c>
    </row>
    <row r="540" spans="1:5" x14ac:dyDescent="0.25">
      <c r="A540" t="str">
        <f>"279600"</f>
        <v>279600</v>
      </c>
      <c r="B540" t="str">
        <f>"81983757495"</f>
        <v>81983757495</v>
      </c>
      <c r="C540" t="str">
        <f>"EVERYDAY COUNTER-PRAYING FOR YOU PKG/6-J8197"</f>
        <v>EVERYDAY COUNTER-PRAYING FOR YOU PKG/6-J8197</v>
      </c>
      <c r="D540" t="str">
        <f>"J8197"</f>
        <v>J8197</v>
      </c>
      <c r="E540" t="str">
        <f>"ED20E076"</f>
        <v>ED20E076</v>
      </c>
    </row>
    <row r="541" spans="1:5" x14ac:dyDescent="0.25">
      <c r="A541" t="str">
        <f>"345244"</f>
        <v>345244</v>
      </c>
      <c r="B541" t="str">
        <f>"81983793677"</f>
        <v>81983793677</v>
      </c>
      <c r="C541" t="str">
        <f>"EVERYDAY COUNTER-GET WELL PKG/6-U2583"</f>
        <v>EVERYDAY COUNTER-GET WELL PKG/6-U2583</v>
      </c>
      <c r="D541" t="str">
        <f>"U2583"</f>
        <v>U2583</v>
      </c>
      <c r="E541" t="str">
        <f>"ED20E077"</f>
        <v>ED20E077</v>
      </c>
    </row>
    <row r="542" spans="1:5" x14ac:dyDescent="0.25">
      <c r="A542" t="str">
        <f>"298794"</f>
        <v>298794</v>
      </c>
      <c r="B542" t="str">
        <f>"81983772009"</f>
        <v>81983772009</v>
      </c>
      <c r="C542" t="str">
        <f>"EVERYDAY COUNTER-GET WELL FOR ANYONE-J9912"</f>
        <v>EVERYDAY COUNTER-GET WELL FOR ANYONE-J9912</v>
      </c>
      <c r="D542" t="str">
        <f>"J9912"</f>
        <v>J9912</v>
      </c>
      <c r="E542" t="str">
        <f>"ED20E078"</f>
        <v>ED20E078</v>
      </c>
    </row>
    <row r="543" spans="1:5" x14ac:dyDescent="0.25">
      <c r="A543" t="str">
        <f>"345262"</f>
        <v>345262</v>
      </c>
      <c r="B543" t="str">
        <f>"81983793813"</f>
        <v>81983793813</v>
      </c>
      <c r="C543" t="str">
        <f>"EVERYDAY COUNTER-SYMPATHY PKG/6-U2597"</f>
        <v>EVERYDAY COUNTER-SYMPATHY PKG/6-U2597</v>
      </c>
      <c r="D543" t="str">
        <f>"U2597"</f>
        <v>U2597</v>
      </c>
      <c r="E543" t="str">
        <f>"ED20E079"</f>
        <v>ED20E079</v>
      </c>
    </row>
    <row r="544" spans="1:5" x14ac:dyDescent="0.25">
      <c r="A544" t="str">
        <f>"345261"</f>
        <v>345261</v>
      </c>
      <c r="B544" t="str">
        <f>"81983793806"</f>
        <v>81983793806</v>
      </c>
      <c r="C544" t="str">
        <f>"EVERYDAY COUNTER-SYMPATHY PKG/6-U2596"</f>
        <v>EVERYDAY COUNTER-SYMPATHY PKG/6-U2596</v>
      </c>
      <c r="D544" t="str">
        <f>"U2596"</f>
        <v>U2596</v>
      </c>
      <c r="E544" t="str">
        <f>"ED20E080"</f>
        <v>ED20E080</v>
      </c>
    </row>
    <row r="545" spans="1:5" x14ac:dyDescent="0.25">
      <c r="A545" t="str">
        <f>"308225"</f>
        <v>308225</v>
      </c>
      <c r="B545" t="str">
        <f>"81983677458"</f>
        <v>81983677458</v>
      </c>
      <c r="C545" t="str">
        <f>"EVERYDAY COUNTER-SYM-LOSS OF HUSBAND PKG/6-92002"</f>
        <v>EVERYDAY COUNTER-SYM-LOSS OF HUSBAND PKG/6-92002</v>
      </c>
      <c r="D545" t="str">
        <f>"92002"</f>
        <v>92002</v>
      </c>
      <c r="E545" t="str">
        <f>"ED20E081"</f>
        <v>ED20E081</v>
      </c>
    </row>
    <row r="546" spans="1:5" x14ac:dyDescent="0.25">
      <c r="A546" t="str">
        <f>"308055"</f>
        <v>308055</v>
      </c>
      <c r="B546" t="str">
        <f>"81983643187"</f>
        <v>81983643187</v>
      </c>
      <c r="C546" t="str">
        <f>"EVERYDAY COUNTER-ENCOURAGEMENT-72806"</f>
        <v>EVERYDAY COUNTER-ENCOURAGEMENT-72806</v>
      </c>
      <c r="D546" t="str">
        <f>"72806"</f>
        <v>72806</v>
      </c>
      <c r="E546" t="str">
        <f>"ED20E082"</f>
        <v>ED20E082</v>
      </c>
    </row>
    <row r="547" spans="1:5" x14ac:dyDescent="0.25">
      <c r="A547" t="str">
        <f>"279584"</f>
        <v>279584</v>
      </c>
      <c r="B547" t="str">
        <f>"81983757365"</f>
        <v>81983757365</v>
      </c>
      <c r="C547" t="str">
        <f>"EVERYDAY COUNTER-ENCOURAGEMENT - DIVORCE PKG/6-J8184"</f>
        <v>EVERYDAY COUNTER-ENCOURAGEMENT - DIVORCE PKG/6-J8184</v>
      </c>
      <c r="D547" t="str">
        <f>"J8184"</f>
        <v>J8184</v>
      </c>
      <c r="E547" t="str">
        <f>"ED20E083"</f>
        <v>ED20E083</v>
      </c>
    </row>
    <row r="548" spans="1:5" x14ac:dyDescent="0.25">
      <c r="A548" t="str">
        <f>"40160X"</f>
        <v>40160X</v>
      </c>
      <c r="B548" t="str">
        <f>"81983618932"</f>
        <v>81983618932</v>
      </c>
      <c r="C548" t="str">
        <f>"EVERYDAY COUNTER-PFY-PATRIOTIC-55701"</f>
        <v>EVERYDAY COUNTER-PFY-PATRIOTIC-55701</v>
      </c>
      <c r="D548" t="str">
        <f>"55701"</f>
        <v>55701</v>
      </c>
      <c r="E548" t="str">
        <f>"ED20E084"</f>
        <v>ED20E084</v>
      </c>
    </row>
    <row r="549" spans="1:5" x14ac:dyDescent="0.25">
      <c r="A549" t="str">
        <f>"345249"</f>
        <v>345249</v>
      </c>
      <c r="B549" t="str">
        <f>"81983793707"</f>
        <v>81983793707</v>
      </c>
      <c r="C549" t="str">
        <f>"EVERYDAY COUNTER-PRAYING FOR YOU PKG/6-U2586"</f>
        <v>EVERYDAY COUNTER-PRAYING FOR YOU PKG/6-U2586</v>
      </c>
      <c r="D549" t="str">
        <f>"U2586"</f>
        <v>U2586</v>
      </c>
      <c r="E549" t="str">
        <f>"ED20E085"</f>
        <v>ED20E085</v>
      </c>
    </row>
    <row r="550" spans="1:5" x14ac:dyDescent="0.25">
      <c r="A550" t="str">
        <f>"307893"</f>
        <v>307893</v>
      </c>
      <c r="B550" t="str">
        <f>"81983678462"</f>
        <v>81983678462</v>
      </c>
      <c r="C550" t="str">
        <f>"EVERYDAY COUNTER-GET WELL ANYONE-44125"</f>
        <v>EVERYDAY COUNTER-GET WELL ANYONE-44125</v>
      </c>
      <c r="D550" t="str">
        <f>"44125"</f>
        <v>44125</v>
      </c>
      <c r="E550" t="str">
        <f>"ED20E086"</f>
        <v>ED20E086</v>
      </c>
    </row>
    <row r="551" spans="1:5" x14ac:dyDescent="0.25">
      <c r="A551" t="str">
        <f>"308077"</f>
        <v>308077</v>
      </c>
      <c r="B551" t="str">
        <f>"81983643392"</f>
        <v>81983643392</v>
      </c>
      <c r="C551" t="str">
        <f>"EVERYDAY COUNTER-GET WELL-72901"</f>
        <v>EVERYDAY COUNTER-GET WELL-72901</v>
      </c>
      <c r="D551" t="str">
        <f>"72901"</f>
        <v>72901</v>
      </c>
      <c r="E551" t="str">
        <f>"ED20E087"</f>
        <v>ED20E087</v>
      </c>
    </row>
    <row r="552" spans="1:5" x14ac:dyDescent="0.25">
      <c r="A552" t="str">
        <f>"308080"</f>
        <v>308080</v>
      </c>
      <c r="B552" t="str">
        <f>"81983772153"</f>
        <v>81983772153</v>
      </c>
      <c r="C552" t="str">
        <f>"EVERYDAY COUNTER-SYMPATHY (PACK OF 6)-J9927"</f>
        <v>EVERYDAY COUNTER-SYMPATHY (PACK OF 6)-J9927</v>
      </c>
      <c r="D552" t="str">
        <f>"J9927"</f>
        <v>J9927</v>
      </c>
      <c r="E552" t="str">
        <f>"ED20E088"</f>
        <v>ED20E088</v>
      </c>
    </row>
    <row r="553" spans="1:5" x14ac:dyDescent="0.25">
      <c r="A553" t="str">
        <f>"345260"</f>
        <v>345260</v>
      </c>
      <c r="B553" t="str">
        <f>"81983793790"</f>
        <v>81983793790</v>
      </c>
      <c r="C553" t="str">
        <f>"EVERYDAY COUNTER-SYMPATHY PKG/6-U2595"</f>
        <v>EVERYDAY COUNTER-SYMPATHY PKG/6-U2595</v>
      </c>
      <c r="D553" t="str">
        <f>"U2595"</f>
        <v>U2595</v>
      </c>
      <c r="E553" t="str">
        <f>"ED20E089"</f>
        <v>ED20E089</v>
      </c>
    </row>
    <row r="554" spans="1:5" x14ac:dyDescent="0.25">
      <c r="A554" t="str">
        <f>"298730"</f>
        <v>298730</v>
      </c>
      <c r="B554" t="str">
        <f>"81983774607"</f>
        <v>81983774607</v>
      </c>
      <c r="C554" t="str">
        <f>"EVERYDAY COUNTER-SYM-LOSS OF DAUGHTER-11528"</f>
        <v>EVERYDAY COUNTER-SYM-LOSS OF DAUGHTER-11528</v>
      </c>
      <c r="D554" t="str">
        <f>"11528"</f>
        <v>11528</v>
      </c>
      <c r="E554" t="str">
        <f>"ED20E090"</f>
        <v>ED20E090</v>
      </c>
    </row>
    <row r="555" spans="1:5" x14ac:dyDescent="0.25">
      <c r="A555" t="str">
        <f>"307952"</f>
        <v>307952</v>
      </c>
      <c r="B555" t="str">
        <f>"81983618147"</f>
        <v>81983618147</v>
      </c>
      <c r="C555" t="str">
        <f>"EVERYDAY COUNTER-ENCOURAGEMENT FOR ANYONE-52029"</f>
        <v>EVERYDAY COUNTER-ENCOURAGEMENT FOR ANYONE-52029</v>
      </c>
      <c r="D555" t="str">
        <f>"52029"</f>
        <v>52029</v>
      </c>
      <c r="E555" t="str">
        <f>"ED20E091"</f>
        <v>ED20E091</v>
      </c>
    </row>
    <row r="556" spans="1:5" x14ac:dyDescent="0.25">
      <c r="A556" t="str">
        <f>"307903"</f>
        <v>307903</v>
      </c>
      <c r="B556" t="str">
        <f>"81983612596"</f>
        <v>81983612596</v>
      </c>
      <c r="C556" t="str">
        <f>"EVERYDAY COUNTER-ENCOURAGEMENT - DIVORCE/SEPARATION-44150"</f>
        <v>EVERYDAY COUNTER-ENCOURAGEMENT - DIVORCE/SEPARATION-44150</v>
      </c>
      <c r="D556" t="str">
        <f>"44150"</f>
        <v>44150</v>
      </c>
      <c r="E556" t="str">
        <f>"ED20E092"</f>
        <v>ED20E092</v>
      </c>
    </row>
    <row r="557" spans="1:5" x14ac:dyDescent="0.25">
      <c r="A557" t="str">
        <f>"345252"</f>
        <v>345252</v>
      </c>
      <c r="B557" t="str">
        <f>"81983793738"</f>
        <v>81983793738</v>
      </c>
      <c r="C557" t="str">
        <f>"EVERYDAY COUNTER-PRAYING FOR YOU/MILITARY PKG/6"</f>
        <v>EVERYDAY COUNTER-PRAYING FOR YOU/MILITARY PKG/6</v>
      </c>
      <c r="D557" t="str">
        <f>"U2589"</f>
        <v>U2589</v>
      </c>
      <c r="E557" t="str">
        <f>"ED20E093"</f>
        <v>ED20E093</v>
      </c>
    </row>
    <row r="558" spans="1:5" x14ac:dyDescent="0.25">
      <c r="A558" t="str">
        <f>"307979"</f>
        <v>307979</v>
      </c>
      <c r="B558" t="str">
        <f>"81983618772"</f>
        <v>81983618772</v>
      </c>
      <c r="C558" t="str">
        <f>"EVERYDAY COUNTER-PFY-FOR ANYONE-55402"</f>
        <v>EVERYDAY COUNTER-PFY-FOR ANYONE-55402</v>
      </c>
      <c r="D558" t="str">
        <f>"55402"</f>
        <v>55402</v>
      </c>
      <c r="E558" t="str">
        <f>"ED20E094"</f>
        <v>ED20E094</v>
      </c>
    </row>
    <row r="559" spans="1:5" x14ac:dyDescent="0.25">
      <c r="A559" t="str">
        <f>"279594"</f>
        <v>279594</v>
      </c>
      <c r="B559" t="str">
        <f>"81983757457"</f>
        <v>81983757457</v>
      </c>
      <c r="C559" t="str">
        <f>"EVERYDAY COUNTER-GET WELL PKG/6-J8193"</f>
        <v>EVERYDAY COUNTER-GET WELL PKG/6-J8193</v>
      </c>
      <c r="D559" t="str">
        <f>"J8193"</f>
        <v>J8193</v>
      </c>
      <c r="E559" t="str">
        <f>"ED20E095"</f>
        <v>ED20E095</v>
      </c>
    </row>
    <row r="560" spans="1:5" x14ac:dyDescent="0.25">
      <c r="A560" t="str">
        <f>"279595"</f>
        <v>279595</v>
      </c>
      <c r="B560" t="str">
        <f>"81983757464"</f>
        <v>81983757464</v>
      </c>
      <c r="C560" t="str">
        <f>"EVERYDAY COUNTER-GET WELL PKG/6-J8194"</f>
        <v>EVERYDAY COUNTER-GET WELL PKG/6-J8194</v>
      </c>
      <c r="D560" t="str">
        <f>"J8194"</f>
        <v>J8194</v>
      </c>
      <c r="E560" t="str">
        <f>"ED20E096"</f>
        <v>ED20E096</v>
      </c>
    </row>
    <row r="561" spans="1:5" x14ac:dyDescent="0.25">
      <c r="A561" t="str">
        <f>"298806"</f>
        <v>298806</v>
      </c>
      <c r="B561" t="str">
        <f>"81983678417"</f>
        <v>81983678417</v>
      </c>
      <c r="C561" t="str">
        <f>"EVERYDAY COUNTER-SYMPATHY-43976"</f>
        <v>EVERYDAY COUNTER-SYMPATHY-43976</v>
      </c>
      <c r="D561" t="str">
        <f>"43976"</f>
        <v>43976</v>
      </c>
      <c r="E561" t="str">
        <f>"ED20E097"</f>
        <v>ED20E097</v>
      </c>
    </row>
    <row r="562" spans="1:5" x14ac:dyDescent="0.25">
      <c r="A562" t="str">
        <f>"279550"</f>
        <v>279550</v>
      </c>
      <c r="B562" t="str">
        <f>"81983749186"</f>
        <v>81983749186</v>
      </c>
      <c r="C562" t="str">
        <f>"EVERYDAY COUNTER-SYMPATHY PKG/6-J6746"</f>
        <v>EVERYDAY COUNTER-SYMPATHY PKG/6-J6746</v>
      </c>
      <c r="D562" t="str">
        <f>"J6746"</f>
        <v>J6746</v>
      </c>
      <c r="E562" t="str">
        <f>"ED20E098"</f>
        <v>ED20E098</v>
      </c>
    </row>
    <row r="563" spans="1:5" x14ac:dyDescent="0.25">
      <c r="A563" t="str">
        <f>"308226"</f>
        <v>308226</v>
      </c>
      <c r="B563" t="str">
        <f>"81983677465"</f>
        <v>81983677465</v>
      </c>
      <c r="C563" t="str">
        <f>"EVERYDAY COUNTER-SYM-LOSS OF SON PKG/6-92003"</f>
        <v>EVERYDAY COUNTER-SYM-LOSS OF SON PKG/6-92003</v>
      </c>
      <c r="D563" t="str">
        <f>"92003"</f>
        <v>92003</v>
      </c>
      <c r="E563" t="str">
        <f>"ED20E099"</f>
        <v>ED20E099</v>
      </c>
    </row>
    <row r="564" spans="1:5" x14ac:dyDescent="0.25">
      <c r="A564" t="str">
        <f>"345241"</f>
        <v>345241</v>
      </c>
      <c r="B564" t="str">
        <f>"81983793646"</f>
        <v>81983793646</v>
      </c>
      <c r="C564" t="str">
        <f>"EVERYDAY COUNTER-ENCOURAGEMENT PKG/6-U2580"</f>
        <v>EVERYDAY COUNTER-ENCOURAGEMENT PKG/6-U2580</v>
      </c>
      <c r="D564" t="str">
        <f>"U2580"</f>
        <v>U2580</v>
      </c>
      <c r="E564" t="str">
        <f>"ED20E100"</f>
        <v>ED20E100</v>
      </c>
    </row>
    <row r="565" spans="1:5" x14ac:dyDescent="0.25">
      <c r="A565" t="str">
        <f>"308054"</f>
        <v>308054</v>
      </c>
      <c r="B565" t="str">
        <f>"81983643170"</f>
        <v>81983643170</v>
      </c>
      <c r="C565" t="str">
        <f>"EVERYDAY COUNTER-ENCOURAGEMENT-72805"</f>
        <v>EVERYDAY COUNTER-ENCOURAGEMENT-72805</v>
      </c>
      <c r="D565" t="str">
        <f>"72805"</f>
        <v>72805</v>
      </c>
      <c r="E565" t="str">
        <f>"ED20E101"</f>
        <v>ED20E101</v>
      </c>
    </row>
    <row r="566" spans="1:5" x14ac:dyDescent="0.25">
      <c r="A566" t="str">
        <f>"307983"</f>
        <v>307983</v>
      </c>
      <c r="B566" t="str">
        <f>"81983618802"</f>
        <v>81983618802</v>
      </c>
      <c r="C566" t="str">
        <f>"EVERYDAY COUNTER-PFY-FOR ANYONE-55405"</f>
        <v>EVERYDAY COUNTER-PFY-FOR ANYONE-55405</v>
      </c>
      <c r="D566" t="str">
        <f>"55405"</f>
        <v>55405</v>
      </c>
      <c r="E566" t="str">
        <f>"ED20E102"</f>
        <v>ED20E102</v>
      </c>
    </row>
    <row r="567" spans="1:5" x14ac:dyDescent="0.25">
      <c r="A567" t="str">
        <f>"307993"</f>
        <v>307993</v>
      </c>
      <c r="B567" t="str">
        <f>"81983618918"</f>
        <v>81983618918</v>
      </c>
      <c r="C567" t="str">
        <f>"EVERYDAY COUNTER-PFY-FOR ANYONE-55608"</f>
        <v>EVERYDAY COUNTER-PFY-FOR ANYONE-55608</v>
      </c>
      <c r="D567" t="str">
        <f>"55608"</f>
        <v>55608</v>
      </c>
      <c r="E567" t="str">
        <f>"ED20E103"</f>
        <v>ED20E103</v>
      </c>
    </row>
    <row r="568" spans="1:5" x14ac:dyDescent="0.25">
      <c r="A568" t="str">
        <f>"308456"</f>
        <v>308456</v>
      </c>
      <c r="B568" t="str">
        <f>"81983721892"</f>
        <v>81983721892</v>
      </c>
      <c r="C568" t="str">
        <f>"EVERYDAY COUNTER-GET WELL - RECOVERY/REST AND HEAL PKG/6-J3441"</f>
        <v>EVERYDAY COUNTER-GET WELL - RECOVERY/REST AND HEAL PKG/6-J3441</v>
      </c>
      <c r="D568" t="str">
        <f>"J3441"</f>
        <v>J3441</v>
      </c>
      <c r="E568" t="str">
        <f>"ED20E104"</f>
        <v>ED20E104</v>
      </c>
    </row>
    <row r="569" spans="1:5" x14ac:dyDescent="0.25">
      <c r="A569" t="str">
        <f>"298799"</f>
        <v>298799</v>
      </c>
      <c r="B569" t="str">
        <f>"81983774355"</f>
        <v>81983774355</v>
      </c>
      <c r="C569" t="str">
        <f>"EVERYDAY COUNTER-SYMPATHY-42537"</f>
        <v>EVERYDAY COUNTER-SYMPATHY-42537</v>
      </c>
      <c r="D569" t="str">
        <f>"42537"</f>
        <v>42537</v>
      </c>
      <c r="E569" t="str">
        <f>"ED20E105"</f>
        <v>ED20E105</v>
      </c>
    </row>
    <row r="570" spans="1:5" x14ac:dyDescent="0.25">
      <c r="A570" t="str">
        <f>"308250"</f>
        <v>308250</v>
      </c>
      <c r="B570" t="str">
        <f>"81983774386"</f>
        <v>81983774386</v>
      </c>
      <c r="C570" t="str">
        <f>"EVERYDAY COUNTER-SYMPATHY PKG/6-92192"</f>
        <v>EVERYDAY COUNTER-SYMPATHY PKG/6-92192</v>
      </c>
      <c r="D570" t="str">
        <f>"92192"</f>
        <v>92192</v>
      </c>
      <c r="E570" t="str">
        <f>"ED20E106"</f>
        <v>ED20E106</v>
      </c>
    </row>
    <row r="571" spans="1:5" x14ac:dyDescent="0.25">
      <c r="A571" t="str">
        <f>"298804"</f>
        <v>298804</v>
      </c>
      <c r="B571" t="str">
        <f>"81983774379"</f>
        <v>81983774379</v>
      </c>
      <c r="C571" t="str">
        <f>"EVERYDAY COUNTER-SYMPATHY-43967"</f>
        <v>EVERYDAY COUNTER-SYMPATHY-43967</v>
      </c>
      <c r="D571" t="str">
        <f>"43967"</f>
        <v>43967</v>
      </c>
      <c r="E571" t="str">
        <f>"ED20E107"</f>
        <v>ED20E107</v>
      </c>
    </row>
    <row r="572" spans="1:5" x14ac:dyDescent="0.25">
      <c r="A572" t="str">
        <f>"308078"</f>
        <v>308078</v>
      </c>
      <c r="B572" t="str">
        <f>"81983643439"</f>
        <v>81983643439</v>
      </c>
      <c r="C572" t="str">
        <f>"EVERYDAY COUNTER-SYMPATHY LOSS OF BABY-72902"</f>
        <v>EVERYDAY COUNTER-SYMPATHY LOSS OF BABY-72902</v>
      </c>
      <c r="D572" t="str">
        <f>"72902"</f>
        <v>72902</v>
      </c>
      <c r="E572" t="str">
        <f>"ED20E108"</f>
        <v>ED20E108</v>
      </c>
    </row>
    <row r="573" spans="1:5" x14ac:dyDescent="0.25">
      <c r="A573" t="str">
        <f>"308076"</f>
        <v>308076</v>
      </c>
      <c r="B573" t="str">
        <f>"81983773419"</f>
        <v>81983773419</v>
      </c>
      <c r="C573" t="str">
        <f>"EVERYDAY COUNTER-ENCOURAGEMENT-72900"</f>
        <v>EVERYDAY COUNTER-ENCOURAGEMENT-72900</v>
      </c>
      <c r="D573" t="str">
        <f>"72900"</f>
        <v>72900</v>
      </c>
      <c r="E573" t="str">
        <f>"ED20E109"</f>
        <v>ED20E109</v>
      </c>
    </row>
    <row r="574" spans="1:5" x14ac:dyDescent="0.25">
      <c r="A574" t="str">
        <f>"401613"</f>
        <v>401613</v>
      </c>
      <c r="B574" t="str">
        <f>"81983772047"</f>
        <v>81983772047</v>
      </c>
      <c r="C574" t="str">
        <f>"EVERYDAY COUNTER-PRAYING FOR YOU-J9916"</f>
        <v>EVERYDAY COUNTER-PRAYING FOR YOU-J9916</v>
      </c>
      <c r="D574" t="str">
        <f>"J9916"</f>
        <v>J9916</v>
      </c>
      <c r="E574" t="str">
        <f>"ED20E110"</f>
        <v>ED20E110</v>
      </c>
    </row>
    <row r="575" spans="1:5" x14ac:dyDescent="0.25">
      <c r="A575" t="str">
        <f>"308086"</f>
        <v>308086</v>
      </c>
      <c r="B575" t="str">
        <f>"81983589225"</f>
        <v>81983589225</v>
      </c>
      <c r="C575" t="str">
        <f>"EVERYDAY COUNTER-PFY - FOR ANYONE-75302"</f>
        <v>EVERYDAY COUNTER-PFY - FOR ANYONE-75302</v>
      </c>
      <c r="D575" t="str">
        <f>"75302"</f>
        <v>75302</v>
      </c>
      <c r="E575" t="str">
        <f>"ED20E111"</f>
        <v>ED20E111</v>
      </c>
    </row>
    <row r="576" spans="1:5" x14ac:dyDescent="0.25">
      <c r="A576" t="str">
        <f>"308457"</f>
        <v>308457</v>
      </c>
      <c r="B576" t="str">
        <f>"81983721908"</f>
        <v>81983721908</v>
      </c>
      <c r="C576" t="str">
        <f>"EVERYDAY COUNTER-THINKING OF YOU/ORANGE FLOWERS PKG/6-J3442"</f>
        <v>EVERYDAY COUNTER-THINKING OF YOU/ORANGE FLOWERS PKG/6-J3442</v>
      </c>
      <c r="D576" t="str">
        <f>"J3442"</f>
        <v>J3442</v>
      </c>
      <c r="E576" t="str">
        <f>"ED20E112"</f>
        <v>ED20E112</v>
      </c>
    </row>
    <row r="577" spans="1:5" x14ac:dyDescent="0.25">
      <c r="A577" t="str">
        <f>"308218"</f>
        <v>308218</v>
      </c>
      <c r="B577" t="str">
        <f>"81983677403"</f>
        <v>81983677403</v>
      </c>
      <c r="C577" t="str">
        <f>"EVERYDAY COUNTER-PRAYING FOR YOU PKG/6-91997"</f>
        <v>EVERYDAY COUNTER-PRAYING FOR YOU PKG/6-91997</v>
      </c>
      <c r="D577" t="str">
        <f>"91997"</f>
        <v>91997</v>
      </c>
      <c r="E577" t="str">
        <f>"ED20E113"</f>
        <v>ED20E113</v>
      </c>
    </row>
    <row r="578" spans="1:5" x14ac:dyDescent="0.25">
      <c r="A578" t="str">
        <f>"298802"</f>
        <v>298802</v>
      </c>
      <c r="B578" t="str">
        <f>"81983512636"</f>
        <v>81983512636</v>
      </c>
      <c r="C578" t="str">
        <f>"EVERYDAY COUNTER-SYMPATHY-42548"</f>
        <v>EVERYDAY COUNTER-SYMPATHY-42548</v>
      </c>
      <c r="D578" t="str">
        <f>"42548"</f>
        <v>42548</v>
      </c>
      <c r="E578" t="str">
        <f>"ED20E114"</f>
        <v>ED20E114</v>
      </c>
    </row>
    <row r="579" spans="1:5" x14ac:dyDescent="0.25">
      <c r="A579" t="str">
        <f>"308069"</f>
        <v>308069</v>
      </c>
      <c r="B579" t="str">
        <f>"81983774928"</f>
        <v>81983774928</v>
      </c>
      <c r="C579" t="str">
        <f>"EVERYDAY COUNTER-SYMPATHY-72850"</f>
        <v>EVERYDAY COUNTER-SYMPATHY-72850</v>
      </c>
      <c r="D579" t="str">
        <f>"72850"</f>
        <v>72850</v>
      </c>
      <c r="E579" t="str">
        <f>"ED20E115"</f>
        <v>ED20E115</v>
      </c>
    </row>
    <row r="580" spans="1:5" x14ac:dyDescent="0.25">
      <c r="A580" t="str">
        <f>"308252"</f>
        <v>308252</v>
      </c>
      <c r="B580" t="str">
        <f>"81983774508"</f>
        <v>81983774508</v>
      </c>
      <c r="C580" t="str">
        <f>"EVERYDAY COUNTER-SYMPATHY PKG/6-92194"</f>
        <v>EVERYDAY COUNTER-SYMPATHY PKG/6-92194</v>
      </c>
      <c r="D580" t="str">
        <f>"92194"</f>
        <v>92194</v>
      </c>
      <c r="E580" t="str">
        <f>"ED20E116"</f>
        <v>ED20E116</v>
      </c>
    </row>
    <row r="581" spans="1:5" x14ac:dyDescent="0.25">
      <c r="A581" t="str">
        <f>"308222"</f>
        <v>308222</v>
      </c>
      <c r="B581" t="str">
        <f>"81983774348"</f>
        <v>81983774348</v>
      </c>
      <c r="C581" t="str">
        <f>"EVERYDAY COUNTER-SYM-ANN OF DEATH PKG/6-92000"</f>
        <v>EVERYDAY COUNTER-SYM-ANN OF DEATH PKG/6-92000</v>
      </c>
      <c r="D581" t="str">
        <f>"92000"</f>
        <v>92000</v>
      </c>
      <c r="E581" t="str">
        <f>"ED20E117"</f>
        <v>ED20E117</v>
      </c>
    </row>
    <row r="582" spans="1:5" x14ac:dyDescent="0.25">
      <c r="A582" t="str">
        <f>"349544"</f>
        <v>349544</v>
      </c>
      <c r="B582" t="str">
        <f>"81983778377"</f>
        <v>81983778377</v>
      </c>
      <c r="C582" t="str">
        <f>"EVERYDAY COUNTER-BIRTHDAY FOR HER PKG/2"</f>
        <v>EVERYDAY COUNTER-BIRTHDAY FOR HER PKG/2</v>
      </c>
      <c r="D582" t="str">
        <f>"U0468"</f>
        <v>U0468</v>
      </c>
      <c r="E582" t="str">
        <f>"ED20HA01"</f>
        <v>ED20HA01</v>
      </c>
    </row>
    <row r="583" spans="1:5" x14ac:dyDescent="0.25">
      <c r="A583" t="str">
        <f>"349546"</f>
        <v>349546</v>
      </c>
      <c r="B583" t="str">
        <f>"81983778384"</f>
        <v>81983778384</v>
      </c>
      <c r="C583" t="str">
        <f>"EVERYDAY COUNTER-BIRTHDAY FOR HER PKG/2-U0469"</f>
        <v>EVERYDAY COUNTER-BIRTHDAY FOR HER PKG/2-U0469</v>
      </c>
      <c r="D583" t="str">
        <f>"U0469"</f>
        <v>U0469</v>
      </c>
      <c r="E583" t="str">
        <f>"ED20HA02"</f>
        <v>ED20HA02</v>
      </c>
    </row>
    <row r="584" spans="1:5" x14ac:dyDescent="0.25">
      <c r="A584" t="str">
        <f>"349529"</f>
        <v>349529</v>
      </c>
      <c r="B584" t="str">
        <f>"81983778476"</f>
        <v>81983778476</v>
      </c>
      <c r="C584" t="str">
        <f>"EVERYDAY COUNTER-BIRTHDAY PKG/6-U0478"</f>
        <v>EVERYDAY COUNTER-BIRTHDAY PKG/6-U0478</v>
      </c>
      <c r="D584" t="str">
        <f>"U0478"</f>
        <v>U0478</v>
      </c>
      <c r="E584" t="str">
        <f>"ED20HA03"</f>
        <v>ED20HA03</v>
      </c>
    </row>
    <row r="585" spans="1:5" x14ac:dyDescent="0.25">
      <c r="A585" t="str">
        <f>"349530"</f>
        <v>349530</v>
      </c>
      <c r="B585" t="str">
        <f>"81983778483"</f>
        <v>81983778483</v>
      </c>
      <c r="C585" t="str">
        <f>"EVERYDAY COUNTER-BIRTHDAY PKG/6-U0479"</f>
        <v>EVERYDAY COUNTER-BIRTHDAY PKG/6-U0479</v>
      </c>
      <c r="D585" t="str">
        <f>"U0479"</f>
        <v>U0479</v>
      </c>
      <c r="E585" t="str">
        <f>"ED20HA04"</f>
        <v>ED20HA04</v>
      </c>
    </row>
    <row r="586" spans="1:5" x14ac:dyDescent="0.25">
      <c r="A586" t="str">
        <f>"349531"</f>
        <v>349531</v>
      </c>
      <c r="B586" t="str">
        <f>"81983778490"</f>
        <v>81983778490</v>
      </c>
      <c r="C586" t="str">
        <f>"EVERYDAY COUNTER-BIRTHDAY PKG/6-U0480"</f>
        <v>EVERYDAY COUNTER-BIRTHDAY PKG/6-U0480</v>
      </c>
      <c r="D586" t="str">
        <f>"U0480"</f>
        <v>U0480</v>
      </c>
      <c r="E586" t="str">
        <f>"ED20HA05"</f>
        <v>ED20HA05</v>
      </c>
    </row>
    <row r="587" spans="1:5" x14ac:dyDescent="0.25">
      <c r="A587" t="str">
        <f>"349532"</f>
        <v>349532</v>
      </c>
      <c r="B587" t="str">
        <f>"81983778506"</f>
        <v>81983778506</v>
      </c>
      <c r="C587" t="str">
        <f>"EVERYDAY COUNTER-BIRTHDAY PKG/6-U0481"</f>
        <v>EVERYDAY COUNTER-BIRTHDAY PKG/6-U0481</v>
      </c>
      <c r="D587" t="str">
        <f>"U0481"</f>
        <v>U0481</v>
      </c>
      <c r="E587" t="str">
        <f>"ED20HA06"</f>
        <v>ED20HA06</v>
      </c>
    </row>
    <row r="588" spans="1:5" x14ac:dyDescent="0.25">
      <c r="A588" t="str">
        <f>"349533"</f>
        <v>349533</v>
      </c>
      <c r="B588" t="str">
        <f>"81983778513"</f>
        <v>81983778513</v>
      </c>
      <c r="C588" t="str">
        <f>"EVERYDAY COUNTER-BIRTHDAY PKG/6-U0482"</f>
        <v>EVERYDAY COUNTER-BIRTHDAY PKG/6-U0482</v>
      </c>
      <c r="D588" t="str">
        <f>"U0482"</f>
        <v>U0482</v>
      </c>
      <c r="E588" t="str">
        <f>"ED20HA07"</f>
        <v>ED20HA07</v>
      </c>
    </row>
    <row r="589" spans="1:5" x14ac:dyDescent="0.25">
      <c r="A589" t="str">
        <f>"349534"</f>
        <v>349534</v>
      </c>
      <c r="B589" t="str">
        <f>"81983778520"</f>
        <v>81983778520</v>
      </c>
      <c r="C589" t="str">
        <f>"EVERYDAY COUNTER-BIRTHDAY PKG/6-U0483"</f>
        <v>EVERYDAY COUNTER-BIRTHDAY PKG/6-U0483</v>
      </c>
      <c r="D589" t="str">
        <f>"U0483"</f>
        <v>U0483</v>
      </c>
      <c r="E589" t="str">
        <f>"ED20HA08"</f>
        <v>ED20HA08</v>
      </c>
    </row>
    <row r="590" spans="1:5" x14ac:dyDescent="0.25">
      <c r="A590" t="str">
        <f>"349541"</f>
        <v>349541</v>
      </c>
      <c r="B590" t="str">
        <f>"81983778391"</f>
        <v>81983778391</v>
      </c>
      <c r="C590" t="str">
        <f>"EVERYDAY COUNTER-BIRTHDAY PKG/2-U0470"</f>
        <v>EVERYDAY COUNTER-BIRTHDAY PKG/2-U0470</v>
      </c>
      <c r="D590" t="str">
        <f>"U0470"</f>
        <v>U0470</v>
      </c>
      <c r="E590" t="str">
        <f>"ED20HB01"</f>
        <v>ED20HB01</v>
      </c>
    </row>
    <row r="591" spans="1:5" x14ac:dyDescent="0.25">
      <c r="A591" t="str">
        <f>"349542"</f>
        <v>349542</v>
      </c>
      <c r="B591" t="str">
        <f>"81983778407"</f>
        <v>81983778407</v>
      </c>
      <c r="C591" t="str">
        <f>"EVERYDAY COUNTER-BIRTHDAY PKG/2-U0471"</f>
        <v>EVERYDAY COUNTER-BIRTHDAY PKG/2-U0471</v>
      </c>
      <c r="D591" t="str">
        <f>"U0471"</f>
        <v>U0471</v>
      </c>
      <c r="E591" t="str">
        <f>"ED20HB02"</f>
        <v>ED20HB02</v>
      </c>
    </row>
    <row r="592" spans="1:5" x14ac:dyDescent="0.25">
      <c r="A592" t="str">
        <f>"349543"</f>
        <v>349543</v>
      </c>
      <c r="B592" t="str">
        <f>"81983778414"</f>
        <v>81983778414</v>
      </c>
      <c r="C592" t="str">
        <f>"EVERYDAY COUNTER-BIRTHDAY PKG/2-U0472"</f>
        <v>EVERYDAY COUNTER-BIRTHDAY PKG/2-U0472</v>
      </c>
      <c r="D592" t="str">
        <f>"U0472"</f>
        <v>U0472</v>
      </c>
      <c r="E592" t="str">
        <f>"ED20HB03"</f>
        <v>ED20HB03</v>
      </c>
    </row>
    <row r="593" spans="1:5" x14ac:dyDescent="0.25">
      <c r="A593" t="str">
        <f>"349545"</f>
        <v>349545</v>
      </c>
      <c r="B593" t="str">
        <f>"81983778421"</f>
        <v>81983778421</v>
      </c>
      <c r="C593" t="str">
        <f>"EVERYDAY COUNTER-BIRTHDAY PKG/2-U0473"</f>
        <v>EVERYDAY COUNTER-BIRTHDAY PKG/2-U0473</v>
      </c>
      <c r="D593" t="str">
        <f>"U0473"</f>
        <v>U0473</v>
      </c>
      <c r="E593" t="str">
        <f>"ED20HB04"</f>
        <v>ED20HB04</v>
      </c>
    </row>
    <row r="594" spans="1:5" x14ac:dyDescent="0.25">
      <c r="A594" t="str">
        <f>"349525"</f>
        <v>349525</v>
      </c>
      <c r="B594" t="str">
        <f>"81983778438"</f>
        <v>81983778438</v>
      </c>
      <c r="C594" t="str">
        <f>"EVERYDAY COUNTER-BIRTHDAY PKG/6-U0474"</f>
        <v>EVERYDAY COUNTER-BIRTHDAY PKG/6-U0474</v>
      </c>
      <c r="D594" t="str">
        <f>"U0474"</f>
        <v>U0474</v>
      </c>
      <c r="E594" t="str">
        <f>"ED20HB05"</f>
        <v>ED20HB05</v>
      </c>
    </row>
    <row r="595" spans="1:5" x14ac:dyDescent="0.25">
      <c r="A595" t="str">
        <f>"349526"</f>
        <v>349526</v>
      </c>
      <c r="B595" t="str">
        <f>"81983778445"</f>
        <v>81983778445</v>
      </c>
      <c r="C595" t="str">
        <f>"EVERYDAY COUNTER-BIRTHDAY PKG/6-U0475"</f>
        <v>EVERYDAY COUNTER-BIRTHDAY PKG/6-U0475</v>
      </c>
      <c r="D595" t="str">
        <f>"U0475"</f>
        <v>U0475</v>
      </c>
      <c r="E595" t="str">
        <f>"ED20HB06"</f>
        <v>ED20HB06</v>
      </c>
    </row>
    <row r="596" spans="1:5" x14ac:dyDescent="0.25">
      <c r="A596" t="str">
        <f>"349527"</f>
        <v>349527</v>
      </c>
      <c r="B596" t="str">
        <f>"81983778452"</f>
        <v>81983778452</v>
      </c>
      <c r="C596" t="str">
        <f>"EVERYDAY COUNTER-BIRTHDAY PKG/6-U0476"</f>
        <v>EVERYDAY COUNTER-BIRTHDAY PKG/6-U0476</v>
      </c>
      <c r="D596" t="str">
        <f>"U0476"</f>
        <v>U0476</v>
      </c>
      <c r="E596" t="str">
        <f>"ED20HB07"</f>
        <v>ED20HB07</v>
      </c>
    </row>
    <row r="597" spans="1:5" x14ac:dyDescent="0.25">
      <c r="A597" t="str">
        <f>"349528"</f>
        <v>349528</v>
      </c>
      <c r="B597" t="str">
        <f>"81983778469"</f>
        <v>81983778469</v>
      </c>
      <c r="C597" t="str">
        <f>"EVERYDAY COUNTER-BIRTHDAY PKG/6-U0477"</f>
        <v>EVERYDAY COUNTER-BIRTHDAY PKG/6-U0477</v>
      </c>
      <c r="D597" t="str">
        <f>"U0477"</f>
        <v>U0477</v>
      </c>
      <c r="E597" t="str">
        <f>"ED20HB08"</f>
        <v>ED20HB08</v>
      </c>
    </row>
    <row r="598" spans="1:5" x14ac:dyDescent="0.25">
      <c r="A598" t="str">
        <f>"345277"</f>
        <v>345277</v>
      </c>
      <c r="B598" t="str">
        <f>"81983794643"</f>
        <v>81983794643</v>
      </c>
      <c r="C598" t="str">
        <f>"EVERYDAY COUNTER-WEDDING PKG/6-U2683"</f>
        <v>EVERYDAY COUNTER-WEDDING PKG/6-U2683</v>
      </c>
      <c r="D598" t="str">
        <f>"U2683"</f>
        <v>U2683</v>
      </c>
      <c r="E598" t="str">
        <f>"ED20HC01"</f>
        <v>ED20HC01</v>
      </c>
    </row>
    <row r="599" spans="1:5" x14ac:dyDescent="0.25">
      <c r="A599" t="str">
        <f>"345276"</f>
        <v>345276</v>
      </c>
      <c r="B599" t="str">
        <f>"81983794636"</f>
        <v>81983794636</v>
      </c>
      <c r="C599" t="str">
        <f>"EVERYDAY COUNTER-WEDDING PKG/6-U2682"</f>
        <v>EVERYDAY COUNTER-WEDDING PKG/6-U2682</v>
      </c>
      <c r="D599" t="str">
        <f>"U2682"</f>
        <v>U2682</v>
      </c>
      <c r="E599" t="str">
        <f>"ED20HC02"</f>
        <v>ED20HC02</v>
      </c>
    </row>
    <row r="600" spans="1:5" x14ac:dyDescent="0.25">
      <c r="A600" t="str">
        <f>"345275"</f>
        <v>345275</v>
      </c>
      <c r="B600" t="str">
        <f>"81983794629"</f>
        <v>81983794629</v>
      </c>
      <c r="C600" t="str">
        <f>"EVERYDAY COUNTER-WEDDING PKG/6-U2681"</f>
        <v>EVERYDAY COUNTER-WEDDING PKG/6-U2681</v>
      </c>
      <c r="D600" t="str">
        <f>"U2681"</f>
        <v>U2681</v>
      </c>
      <c r="E600" t="str">
        <f>"ED20HC03"</f>
        <v>ED20HC03</v>
      </c>
    </row>
    <row r="601" spans="1:5" x14ac:dyDescent="0.25">
      <c r="A601" t="str">
        <f>"401615"</f>
        <v>401615</v>
      </c>
      <c r="B601" t="str">
        <f>"81983768545"</f>
        <v>81983768545</v>
      </c>
      <c r="C601" t="str">
        <f>"EVERYDAY COUNTER-WEDDING-HL PREMIUM (PACK OF 2)-J9574"</f>
        <v>EVERYDAY COUNTER-WEDDING-HL PREMIUM (PACK OF 2)-J9574</v>
      </c>
      <c r="D601" t="str">
        <f>"J9574"</f>
        <v>J9574</v>
      </c>
      <c r="E601" t="str">
        <f>"ED20HC04"</f>
        <v>ED20HC04</v>
      </c>
    </row>
    <row r="602" spans="1:5" x14ac:dyDescent="0.25">
      <c r="A602" t="str">
        <f>"345224"</f>
        <v>345224</v>
      </c>
      <c r="B602" t="str">
        <f>"81983788994"</f>
        <v>81983788994</v>
      </c>
      <c r="C602" t="str">
        <f>"EVERYDAY COUNTER-WEDDING-PREMIUM PKG/2"</f>
        <v>EVERYDAY COUNTER-WEDDING-PREMIUM PKG/2</v>
      </c>
      <c r="D602" t="str">
        <f>"U1985"</f>
        <v>U1985</v>
      </c>
      <c r="E602" t="str">
        <f>"ED20HC05"</f>
        <v>ED20HC05</v>
      </c>
    </row>
    <row r="603" spans="1:5" x14ac:dyDescent="0.25">
      <c r="A603" t="str">
        <f>"345226"</f>
        <v>345226</v>
      </c>
      <c r="B603" t="str">
        <f>"81983789014"</f>
        <v>81983789014</v>
      </c>
      <c r="C603" t="str">
        <f>"EVERYDAY COUNTER-WEDDING-PREMIUM PKG/2"</f>
        <v>EVERYDAY COUNTER-WEDDING-PREMIUM PKG/2</v>
      </c>
      <c r="D603" t="str">
        <f>"U1987"</f>
        <v>U1987</v>
      </c>
      <c r="E603" t="str">
        <f>"ED20HC06"</f>
        <v>ED20HC06</v>
      </c>
    </row>
    <row r="604" spans="1:5" x14ac:dyDescent="0.25">
      <c r="A604" t="str">
        <f>"345225"</f>
        <v>345225</v>
      </c>
      <c r="B604" t="str">
        <f>"81983789007"</f>
        <v>81983789007</v>
      </c>
      <c r="C604" t="str">
        <f>"EVERYDAY COUNTER-WEDDING-PREMIUM PKG/2"</f>
        <v>EVERYDAY COUNTER-WEDDING-PREMIUM PKG/2</v>
      </c>
      <c r="D604" t="str">
        <f>"U1986"</f>
        <v>U1986</v>
      </c>
      <c r="E604" t="str">
        <f>"ED20HC07"</f>
        <v>ED20HC07</v>
      </c>
    </row>
    <row r="605" spans="1:5" x14ac:dyDescent="0.25">
      <c r="A605" t="str">
        <f>"345274"</f>
        <v>345274</v>
      </c>
      <c r="B605" t="str">
        <f>"81983794612"</f>
        <v>81983794612</v>
      </c>
      <c r="C605" t="str">
        <f>"EVERYDAY COUNTER-WEDDING PKG/6-U2680"</f>
        <v>EVERYDAY COUNTER-WEDDING PKG/6-U2680</v>
      </c>
      <c r="D605" t="str">
        <f>"U2680"</f>
        <v>U2680</v>
      </c>
      <c r="E605" t="str">
        <f>"ED20HC08"</f>
        <v>ED20HC08</v>
      </c>
    </row>
    <row r="606" spans="1:5" x14ac:dyDescent="0.25">
      <c r="A606" t="str">
        <f>"374842"</f>
        <v>374842</v>
      </c>
      <c r="B606" t="str">
        <f>"081983789069"</f>
        <v>081983789069</v>
      </c>
      <c r="C606" t="str">
        <f>"EVERYDAY COUNTER-CONGRATULATIONS-PREMIUM PKG/2"</f>
        <v>EVERYDAY COUNTER-CONGRATULATIONS-PREMIUM PKG/2</v>
      </c>
      <c r="D606" t="str">
        <f>"U1992"</f>
        <v>U1992</v>
      </c>
      <c r="E606" t="str">
        <f>"ED20HD01"</f>
        <v>ED20HD01</v>
      </c>
    </row>
    <row r="607" spans="1:5" x14ac:dyDescent="0.25">
      <c r="A607" t="str">
        <f>"345230"</f>
        <v>345230</v>
      </c>
      <c r="B607" t="str">
        <f>"81983789052"</f>
        <v>81983789052</v>
      </c>
      <c r="C607" t="str">
        <f>"EVERYDAY COUNTER-CONGRATULATIONS-PREMIUM PKG/2"</f>
        <v>EVERYDAY COUNTER-CONGRATULATIONS-PREMIUM PKG/2</v>
      </c>
      <c r="D607" t="str">
        <f>"U1991"</f>
        <v>U1991</v>
      </c>
      <c r="E607" t="str">
        <f>"ED20HD02"</f>
        <v>ED20HD02</v>
      </c>
    </row>
    <row r="608" spans="1:5" x14ac:dyDescent="0.25">
      <c r="A608" t="str">
        <f>"345273"</f>
        <v>345273</v>
      </c>
      <c r="B608" t="str">
        <f>"81983794605"</f>
        <v>81983794605</v>
      </c>
      <c r="C608" t="str">
        <f>"EVERYDAY COUNTER-CONGRATULATIONS GRADUATE PKG/6"</f>
        <v>EVERYDAY COUNTER-CONGRATULATIONS GRADUATE PKG/6</v>
      </c>
      <c r="D608" t="str">
        <f>"U2679"</f>
        <v>U2679</v>
      </c>
      <c r="E608" t="str">
        <f>"ED20HD03"</f>
        <v>ED20HD03</v>
      </c>
    </row>
    <row r="609" spans="1:5" x14ac:dyDescent="0.25">
      <c r="A609" t="str">
        <f>"345228"</f>
        <v>345228</v>
      </c>
      <c r="B609" t="str">
        <f>"81983789045"</f>
        <v>81983789045</v>
      </c>
      <c r="C609" t="str">
        <f>"EVERYDAY COUNTER-CONGRATULATIONS-PREMIUM PKG/2"</f>
        <v>EVERYDAY COUNTER-CONGRATULATIONS-PREMIUM PKG/2</v>
      </c>
      <c r="D609" t="str">
        <f>"U1990"</f>
        <v>U1990</v>
      </c>
      <c r="E609" t="str">
        <f>"ED20HD04"</f>
        <v>ED20HD04</v>
      </c>
    </row>
    <row r="610" spans="1:5" x14ac:dyDescent="0.25">
      <c r="A610" t="str">
        <f>"345272"</f>
        <v>345272</v>
      </c>
      <c r="B610" t="str">
        <f>"81983794599"</f>
        <v>81983794599</v>
      </c>
      <c r="C610" t="str">
        <f>"EVERYDAY COUNTER-CONGRATULATIONS GRADUATE PKG/6"</f>
        <v>EVERYDAY COUNTER-CONGRATULATIONS GRADUATE PKG/6</v>
      </c>
      <c r="D610" t="str">
        <f>"U2678"</f>
        <v>U2678</v>
      </c>
      <c r="E610" t="str">
        <f>"ED20HD05"</f>
        <v>ED20HD05</v>
      </c>
    </row>
    <row r="611" spans="1:5" x14ac:dyDescent="0.25">
      <c r="A611" t="str">
        <f>"345271"</f>
        <v>345271</v>
      </c>
      <c r="B611" t="str">
        <f>"81983794582"</f>
        <v>81983794582</v>
      </c>
      <c r="C611" t="str">
        <f>"EVERYDAY COUNTER-CONGRATULATIONS/BABY SHOWER PKG/6"</f>
        <v>EVERYDAY COUNTER-CONGRATULATIONS/BABY SHOWER PKG/6</v>
      </c>
      <c r="D611" t="str">
        <f>"U2677"</f>
        <v>U2677</v>
      </c>
      <c r="E611" t="str">
        <f>"ED20HD06"</f>
        <v>ED20HD06</v>
      </c>
    </row>
    <row r="612" spans="1:5" x14ac:dyDescent="0.25">
      <c r="A612" t="str">
        <f>"345227"</f>
        <v>345227</v>
      </c>
      <c r="B612" t="str">
        <f>"81983789038"</f>
        <v>81983789038</v>
      </c>
      <c r="C612" t="str">
        <f>"EVERYDAY COUNTER-BABY CONGRATS-PREMIUM PKG/2"</f>
        <v>EVERYDAY COUNTER-BABY CONGRATS-PREMIUM PKG/2</v>
      </c>
      <c r="D612" t="str">
        <f>"U1989"</f>
        <v>U1989</v>
      </c>
      <c r="E612" t="str">
        <f>"ED20HD07"</f>
        <v>ED20HD07</v>
      </c>
    </row>
    <row r="613" spans="1:5" x14ac:dyDescent="0.25">
      <c r="A613" t="str">
        <f>"345270"</f>
        <v>345270</v>
      </c>
      <c r="B613" t="str">
        <f>"81983794575"</f>
        <v>81983794575</v>
      </c>
      <c r="C613" t="str">
        <f>"EVERYDAY COUNTER-CONGRATULATIONS BABY PKG/6"</f>
        <v>EVERYDAY COUNTER-CONGRATULATIONS BABY PKG/6</v>
      </c>
      <c r="D613" t="str">
        <f>"U2676"</f>
        <v>U2676</v>
      </c>
      <c r="E613" t="str">
        <f>"ED20HD08"</f>
        <v>ED20HD08</v>
      </c>
    </row>
    <row r="614" spans="1:5" x14ac:dyDescent="0.25">
      <c r="A614" t="str">
        <f>"345278"</f>
        <v>345278</v>
      </c>
      <c r="B614" t="str">
        <f>"81983794650"</f>
        <v>81983794650</v>
      </c>
      <c r="C614" t="str">
        <f>"EVERYDAY COUNTER-ENCOURAGEMENT PKG/6-U2684"</f>
        <v>EVERYDAY COUNTER-ENCOURAGEMENT PKG/6-U2684</v>
      </c>
      <c r="D614" t="str">
        <f>"U2684"</f>
        <v>U2684</v>
      </c>
      <c r="E614" t="str">
        <f>"ED20HE01"</f>
        <v>ED20HE01</v>
      </c>
    </row>
    <row r="615" spans="1:5" x14ac:dyDescent="0.25">
      <c r="A615" t="str">
        <f>"345279"</f>
        <v>345279</v>
      </c>
      <c r="B615" t="str">
        <f>"81983794667"</f>
        <v>81983794667</v>
      </c>
      <c r="C615" t="str">
        <f>"EVERYDAY COUNTER-ENCOURAGEMENT PKG/6-U2685"</f>
        <v>EVERYDAY COUNTER-ENCOURAGEMENT PKG/6-U2685</v>
      </c>
      <c r="D615" t="str">
        <f>"U2685"</f>
        <v>U2685</v>
      </c>
      <c r="E615" t="str">
        <f>"ED20HE02"</f>
        <v>ED20HE02</v>
      </c>
    </row>
    <row r="616" spans="1:5" x14ac:dyDescent="0.25">
      <c r="A616" t="str">
        <f>"345280"</f>
        <v>345280</v>
      </c>
      <c r="B616" t="str">
        <f>"81983794674"</f>
        <v>81983794674</v>
      </c>
      <c r="C616" t="str">
        <f>"EVERYDAY COUNTER-ENCOURAGEMENT PKG/6-U2686"</f>
        <v>EVERYDAY COUNTER-ENCOURAGEMENT PKG/6-U2686</v>
      </c>
      <c r="D616" t="str">
        <f>"U2686"</f>
        <v>U2686</v>
      </c>
      <c r="E616" t="str">
        <f>"ED20HE03"</f>
        <v>ED20HE03</v>
      </c>
    </row>
    <row r="617" spans="1:5" x14ac:dyDescent="0.25">
      <c r="A617" t="str">
        <f>"345281"</f>
        <v>345281</v>
      </c>
      <c r="B617" t="str">
        <f>"81983794681"</f>
        <v>81983794681</v>
      </c>
      <c r="C617" t="str">
        <f>"EVERYDAY COUNTER-ENCOURAGEMENT PKG/6-U2687"</f>
        <v>EVERYDAY COUNTER-ENCOURAGEMENT PKG/6-U2687</v>
      </c>
      <c r="D617" t="str">
        <f>"U2687"</f>
        <v>U2687</v>
      </c>
      <c r="E617" t="str">
        <f>"ED20HE04"</f>
        <v>ED20HE04</v>
      </c>
    </row>
    <row r="618" spans="1:5" x14ac:dyDescent="0.25">
      <c r="A618" t="str">
        <f>"345282"</f>
        <v>345282</v>
      </c>
      <c r="B618" t="str">
        <f>"81983794698"</f>
        <v>81983794698</v>
      </c>
      <c r="C618" t="str">
        <f>"EVERYDAY COUNTER-ENCOURAGEMENT PKG/6-U2688"</f>
        <v>EVERYDAY COUNTER-ENCOURAGEMENT PKG/6-U2688</v>
      </c>
      <c r="D618" t="str">
        <f>"U2688"</f>
        <v>U2688</v>
      </c>
      <c r="E618" t="str">
        <f>"ED20HE05"</f>
        <v>ED20HE05</v>
      </c>
    </row>
    <row r="619" spans="1:5" x14ac:dyDescent="0.25">
      <c r="A619" t="str">
        <f>"345283"</f>
        <v>345283</v>
      </c>
      <c r="B619" t="str">
        <f>"81983794704"</f>
        <v>81983794704</v>
      </c>
      <c r="C619" t="str">
        <f>"EVERYDAY COUNTER-ENCOURAGEMENT PKG/6-U2689"</f>
        <v>EVERYDAY COUNTER-ENCOURAGEMENT PKG/6-U2689</v>
      </c>
      <c r="D619" t="str">
        <f>"U2689"</f>
        <v>U2689</v>
      </c>
      <c r="E619" t="str">
        <f>"ED20HE06"</f>
        <v>ED20HE06</v>
      </c>
    </row>
    <row r="620" spans="1:5" x14ac:dyDescent="0.25">
      <c r="A620" t="str">
        <f>"345284"</f>
        <v>345284</v>
      </c>
      <c r="B620" t="str">
        <f>"81983794711"</f>
        <v>81983794711</v>
      </c>
      <c r="C620" t="str">
        <f>"EVERYDAY COUNTER-ENCOURAGEMENT PKG/6-U2690"</f>
        <v>EVERYDAY COUNTER-ENCOURAGEMENT PKG/6-U2690</v>
      </c>
      <c r="D620" t="str">
        <f>"U2690"</f>
        <v>U2690</v>
      </c>
      <c r="E620" t="str">
        <f>"ED20HE07"</f>
        <v>ED20HE07</v>
      </c>
    </row>
    <row r="621" spans="1:5" x14ac:dyDescent="0.25">
      <c r="A621" t="str">
        <f>"345285"</f>
        <v>345285</v>
      </c>
      <c r="B621" t="str">
        <f>"81983794728"</f>
        <v>81983794728</v>
      </c>
      <c r="C621" t="str">
        <f>"EVERYDAY COUNTER-ENCOURAGEMENT PKG/6-U2691"</f>
        <v>EVERYDAY COUNTER-ENCOURAGEMENT PKG/6-U2691</v>
      </c>
      <c r="D621" t="str">
        <f>"U2691"</f>
        <v>U2691</v>
      </c>
      <c r="E621" t="str">
        <f>"ED20HE08"</f>
        <v>ED20HE08</v>
      </c>
    </row>
  </sheetData>
  <autoFilter ref="A1:E621" xr:uid="{A96AF28C-244D-4443-92DF-CB4B459F8DE7}">
    <sortState xmlns:xlrd2="http://schemas.microsoft.com/office/spreadsheetml/2017/richdata2" ref="A2:E621">
      <sortCondition ref="E1:E6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2024-07-25T17:01:29Z</dcterms:created>
  <dcterms:modified xsi:type="dcterms:W3CDTF">2024-07-25T17:48:17Z</dcterms:modified>
</cp:coreProperties>
</file>