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8_{3920FB88-D26F-4C01-BA90-B74698B3A36D}" xr6:coauthVersionLast="47" xr6:coauthVersionMax="47" xr10:uidLastSave="{00000000-0000-0000-0000-000000000000}"/>
  <bookViews>
    <workbookView xWindow="-120" yWindow="-120" windowWidth="29040" windowHeight="16440" xr2:uid="{AF209F7E-020C-4052-A210-29BBB835C791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C4" i="1"/>
  <c r="B4" i="1"/>
  <c r="A4" i="1"/>
  <c r="E5" i="1"/>
  <c r="C5" i="1"/>
  <c r="B5" i="1"/>
  <c r="A5" i="1"/>
  <c r="E6" i="1"/>
  <c r="D6" i="1"/>
  <c r="C6" i="1"/>
  <c r="B6" i="1"/>
  <c r="A6" i="1"/>
  <c r="E7" i="1"/>
  <c r="C7" i="1"/>
  <c r="B7" i="1"/>
  <c r="A7" i="1"/>
  <c r="E8" i="1"/>
  <c r="C8" i="1"/>
  <c r="B8" i="1"/>
  <c r="A8" i="1"/>
  <c r="E9" i="1"/>
  <c r="C9" i="1"/>
  <c r="B9" i="1"/>
  <c r="A9" i="1"/>
  <c r="E10" i="1"/>
  <c r="D10" i="1"/>
  <c r="C10" i="1"/>
  <c r="B10" i="1"/>
  <c r="A10" i="1"/>
  <c r="E11" i="1"/>
  <c r="C11" i="1"/>
  <c r="B11" i="1"/>
  <c r="A11" i="1"/>
  <c r="E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C15" i="1"/>
  <c r="B15" i="1"/>
  <c r="A15" i="1"/>
  <c r="E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C21" i="1"/>
  <c r="B21" i="1"/>
  <c r="A21" i="1"/>
  <c r="E22" i="1"/>
  <c r="D22" i="1"/>
  <c r="C22" i="1"/>
  <c r="B22" i="1"/>
  <c r="A22" i="1"/>
  <c r="E23" i="1"/>
  <c r="C23" i="1"/>
  <c r="B23" i="1"/>
  <c r="A23" i="1"/>
  <c r="E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C31" i="1"/>
  <c r="B31" i="1"/>
  <c r="A31" i="1"/>
  <c r="E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C57" i="1"/>
  <c r="B57" i="1"/>
  <c r="A57" i="1"/>
  <c r="E58" i="1"/>
  <c r="C58" i="1"/>
  <c r="B58" i="1"/>
  <c r="A58" i="1"/>
  <c r="E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C122" i="1"/>
  <c r="B122" i="1"/>
  <c r="A122" i="1"/>
  <c r="E123" i="1"/>
  <c r="C123" i="1"/>
  <c r="B123" i="1"/>
  <c r="A123" i="1"/>
  <c r="E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C131" i="1"/>
  <c r="B131" i="1"/>
  <c r="A131" i="1"/>
  <c r="E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C138" i="1"/>
  <c r="B138" i="1"/>
  <c r="A138" i="1"/>
  <c r="E139" i="1"/>
  <c r="C139" i="1"/>
  <c r="B139" i="1"/>
  <c r="A139" i="1"/>
  <c r="E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C147" i="1"/>
  <c r="B147" i="1"/>
  <c r="A147" i="1"/>
  <c r="E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C184" i="1"/>
  <c r="B184" i="1"/>
  <c r="A184" i="1"/>
  <c r="E185" i="1"/>
  <c r="C185" i="1"/>
  <c r="B185" i="1"/>
  <c r="A185" i="1"/>
  <c r="E186" i="1"/>
  <c r="D186" i="1"/>
  <c r="C186" i="1"/>
  <c r="B186" i="1"/>
  <c r="A186" i="1"/>
  <c r="E187" i="1"/>
  <c r="C187" i="1"/>
  <c r="B187" i="1"/>
  <c r="A187" i="1"/>
  <c r="E188" i="1"/>
  <c r="D188" i="1"/>
  <c r="C188" i="1"/>
  <c r="B188" i="1"/>
  <c r="A188" i="1"/>
  <c r="E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C192" i="1"/>
  <c r="B192" i="1"/>
  <c r="A192" i="1"/>
  <c r="E193" i="1"/>
  <c r="C193" i="1"/>
  <c r="B193" i="1"/>
  <c r="A193" i="1"/>
  <c r="E194" i="1"/>
  <c r="D194" i="1"/>
  <c r="C194" i="1"/>
  <c r="B194" i="1"/>
  <c r="A194" i="1"/>
  <c r="E195" i="1"/>
  <c r="C195" i="1"/>
  <c r="B195" i="1"/>
  <c r="A195" i="1"/>
  <c r="E196" i="1"/>
  <c r="D196" i="1"/>
  <c r="C196" i="1"/>
  <c r="B196" i="1"/>
  <c r="A196" i="1"/>
  <c r="E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C211" i="1"/>
  <c r="B211" i="1"/>
  <c r="A211" i="1"/>
  <c r="E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D237" i="1"/>
  <c r="C237" i="1"/>
  <c r="B237" i="1"/>
  <c r="A237" i="1"/>
  <c r="E238" i="1"/>
  <c r="D238" i="1"/>
  <c r="C238" i="1"/>
  <c r="B238" i="1"/>
  <c r="A238" i="1"/>
  <c r="E239" i="1"/>
  <c r="D239" i="1"/>
  <c r="C239" i="1"/>
  <c r="B239" i="1"/>
  <c r="A239" i="1"/>
  <c r="E240" i="1"/>
  <c r="D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D244" i="1"/>
  <c r="C244" i="1"/>
  <c r="B244" i="1"/>
  <c r="A244" i="1"/>
  <c r="E245" i="1"/>
  <c r="D245" i="1"/>
  <c r="C245" i="1"/>
  <c r="B245" i="1"/>
  <c r="A245" i="1"/>
  <c r="E246" i="1"/>
  <c r="D246" i="1"/>
  <c r="C246" i="1"/>
  <c r="B246" i="1"/>
  <c r="A246" i="1"/>
  <c r="E247" i="1"/>
  <c r="D247" i="1"/>
  <c r="C247" i="1"/>
  <c r="B247" i="1"/>
  <c r="A247" i="1"/>
  <c r="E248" i="1"/>
  <c r="D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D255" i="1"/>
  <c r="C255" i="1"/>
  <c r="B255" i="1"/>
  <c r="A255" i="1"/>
  <c r="E256" i="1"/>
  <c r="D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D261" i="1"/>
  <c r="C261" i="1"/>
  <c r="B261" i="1"/>
  <c r="A261" i="1"/>
  <c r="E262" i="1"/>
  <c r="D262" i="1"/>
  <c r="C262" i="1"/>
  <c r="B262" i="1"/>
  <c r="A262" i="1"/>
  <c r="E263" i="1"/>
  <c r="D263" i="1"/>
  <c r="C263" i="1"/>
  <c r="B263" i="1"/>
  <c r="A263" i="1"/>
  <c r="E264" i="1"/>
  <c r="D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D286" i="1"/>
  <c r="C286" i="1"/>
  <c r="B286" i="1"/>
  <c r="A286" i="1"/>
  <c r="E287" i="1"/>
  <c r="D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D292" i="1"/>
  <c r="C292" i="1"/>
  <c r="B292" i="1"/>
  <c r="A292" i="1"/>
  <c r="E293" i="1"/>
  <c r="D293" i="1"/>
  <c r="C293" i="1"/>
  <c r="B293" i="1"/>
  <c r="A293" i="1"/>
  <c r="E294" i="1"/>
  <c r="D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D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D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D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D344" i="1"/>
  <c r="C344" i="1"/>
  <c r="B344" i="1"/>
  <c r="A344" i="1"/>
  <c r="E345" i="1"/>
  <c r="D345" i="1"/>
  <c r="C345" i="1"/>
  <c r="B345" i="1"/>
  <c r="A345" i="1"/>
  <c r="E346" i="1"/>
  <c r="D346" i="1"/>
  <c r="C346" i="1"/>
  <c r="B346" i="1"/>
  <c r="A346" i="1"/>
  <c r="E347" i="1"/>
  <c r="D347" i="1"/>
  <c r="C347" i="1"/>
  <c r="B347" i="1"/>
  <c r="A347" i="1"/>
  <c r="E348" i="1"/>
  <c r="D348" i="1"/>
  <c r="C348" i="1"/>
  <c r="B348" i="1"/>
  <c r="A348" i="1"/>
  <c r="E349" i="1"/>
  <c r="D349" i="1"/>
  <c r="C349" i="1"/>
  <c r="B349" i="1"/>
  <c r="A349" i="1"/>
  <c r="E350" i="1"/>
  <c r="D350" i="1"/>
  <c r="C350" i="1"/>
  <c r="B350" i="1"/>
  <c r="A350" i="1"/>
  <c r="E351" i="1"/>
  <c r="D351" i="1"/>
  <c r="C351" i="1"/>
  <c r="B351" i="1"/>
  <c r="A351" i="1"/>
  <c r="E352" i="1"/>
  <c r="D352" i="1"/>
  <c r="C352" i="1"/>
  <c r="B352" i="1"/>
  <c r="A352" i="1"/>
  <c r="E353" i="1"/>
  <c r="C353" i="1"/>
  <c r="B353" i="1"/>
  <c r="A353" i="1"/>
  <c r="E354" i="1"/>
  <c r="C354" i="1"/>
  <c r="B354" i="1"/>
  <c r="A354" i="1"/>
  <c r="E355" i="1"/>
  <c r="D355" i="1"/>
  <c r="C355" i="1"/>
  <c r="B355" i="1"/>
  <c r="A355" i="1"/>
  <c r="E356" i="1"/>
  <c r="D356" i="1"/>
  <c r="C356" i="1"/>
  <c r="B356" i="1"/>
  <c r="A356" i="1"/>
  <c r="E357" i="1"/>
  <c r="D357" i="1"/>
  <c r="C357" i="1"/>
  <c r="B357" i="1"/>
  <c r="A357" i="1"/>
  <c r="E358" i="1"/>
  <c r="D358" i="1"/>
  <c r="C358" i="1"/>
  <c r="B358" i="1"/>
  <c r="A358" i="1"/>
  <c r="E359" i="1"/>
  <c r="D359" i="1"/>
  <c r="C359" i="1"/>
  <c r="B359" i="1"/>
  <c r="A359" i="1"/>
  <c r="E360" i="1"/>
  <c r="D360" i="1"/>
  <c r="C360" i="1"/>
  <c r="B360" i="1"/>
  <c r="A360" i="1"/>
  <c r="E361" i="1"/>
  <c r="C361" i="1"/>
  <c r="B361" i="1"/>
  <c r="A361" i="1"/>
  <c r="E362" i="1"/>
  <c r="C362" i="1"/>
  <c r="B362" i="1"/>
  <c r="A362" i="1"/>
  <c r="E363" i="1"/>
  <c r="D363" i="1"/>
  <c r="C363" i="1"/>
  <c r="B363" i="1"/>
  <c r="A363" i="1"/>
  <c r="E364" i="1"/>
  <c r="D364" i="1"/>
  <c r="C364" i="1"/>
  <c r="B364" i="1"/>
  <c r="A364" i="1"/>
  <c r="E365" i="1"/>
  <c r="D365" i="1"/>
  <c r="C365" i="1"/>
  <c r="B365" i="1"/>
  <c r="A365" i="1"/>
  <c r="E366" i="1"/>
  <c r="D366" i="1"/>
  <c r="C366" i="1"/>
  <c r="B366" i="1"/>
  <c r="A366" i="1"/>
  <c r="E367" i="1"/>
  <c r="D367" i="1"/>
  <c r="C367" i="1"/>
  <c r="B367" i="1"/>
  <c r="A367" i="1"/>
  <c r="E368" i="1"/>
  <c r="D368" i="1"/>
  <c r="C368" i="1"/>
  <c r="B368" i="1"/>
  <c r="A368" i="1"/>
  <c r="E369" i="1"/>
  <c r="C369" i="1"/>
  <c r="B369" i="1"/>
  <c r="A369" i="1"/>
  <c r="E370" i="1"/>
  <c r="C370" i="1"/>
  <c r="B370" i="1"/>
  <c r="A370" i="1"/>
  <c r="E371" i="1"/>
  <c r="D371" i="1"/>
  <c r="C371" i="1"/>
  <c r="B371" i="1"/>
  <c r="A371" i="1"/>
  <c r="E372" i="1"/>
  <c r="D372" i="1"/>
  <c r="C372" i="1"/>
  <c r="B372" i="1"/>
  <c r="A372" i="1"/>
  <c r="E373" i="1"/>
  <c r="D373" i="1"/>
  <c r="C373" i="1"/>
  <c r="B373" i="1"/>
  <c r="A373" i="1"/>
  <c r="E374" i="1"/>
  <c r="D374" i="1"/>
  <c r="C374" i="1"/>
  <c r="B374" i="1"/>
  <c r="A374" i="1"/>
  <c r="E375" i="1"/>
  <c r="D375" i="1"/>
  <c r="C375" i="1"/>
  <c r="B375" i="1"/>
  <c r="A375" i="1"/>
  <c r="E376" i="1"/>
  <c r="D376" i="1"/>
  <c r="C376" i="1"/>
  <c r="B376" i="1"/>
  <c r="A376" i="1"/>
  <c r="E377" i="1"/>
  <c r="C377" i="1"/>
  <c r="B377" i="1"/>
  <c r="A377" i="1"/>
  <c r="E378" i="1"/>
  <c r="C378" i="1"/>
  <c r="B378" i="1"/>
  <c r="A378" i="1"/>
  <c r="E379" i="1"/>
  <c r="D379" i="1"/>
  <c r="C379" i="1"/>
  <c r="B379" i="1"/>
  <c r="A379" i="1"/>
  <c r="E380" i="1"/>
  <c r="D380" i="1"/>
  <c r="C380" i="1"/>
  <c r="B380" i="1"/>
  <c r="A380" i="1"/>
  <c r="E381" i="1"/>
  <c r="D381" i="1"/>
  <c r="C381" i="1"/>
  <c r="B381" i="1"/>
  <c r="A381" i="1"/>
  <c r="E382" i="1"/>
  <c r="D382" i="1"/>
  <c r="C382" i="1"/>
  <c r="B382" i="1"/>
  <c r="A382" i="1"/>
  <c r="E383" i="1"/>
  <c r="D383" i="1"/>
  <c r="C383" i="1"/>
  <c r="B383" i="1"/>
  <c r="A383" i="1"/>
  <c r="E384" i="1"/>
  <c r="D384" i="1"/>
  <c r="C384" i="1"/>
  <c r="B384" i="1"/>
  <c r="A384" i="1"/>
  <c r="E385" i="1"/>
  <c r="D385" i="1"/>
  <c r="C385" i="1"/>
  <c r="B385" i="1"/>
  <c r="A385" i="1"/>
  <c r="E386" i="1"/>
  <c r="D386" i="1"/>
  <c r="C386" i="1"/>
  <c r="B386" i="1"/>
  <c r="A386" i="1"/>
  <c r="E387" i="1"/>
  <c r="D387" i="1"/>
  <c r="C387" i="1"/>
  <c r="B387" i="1"/>
  <c r="A387" i="1"/>
  <c r="E388" i="1"/>
  <c r="D388" i="1"/>
  <c r="C388" i="1"/>
  <c r="B388" i="1"/>
  <c r="A388" i="1"/>
  <c r="E389" i="1"/>
  <c r="D389" i="1"/>
  <c r="C389" i="1"/>
  <c r="B389" i="1"/>
  <c r="A389" i="1"/>
  <c r="E390" i="1"/>
  <c r="D390" i="1"/>
  <c r="C390" i="1"/>
  <c r="B390" i="1"/>
  <c r="A390" i="1"/>
  <c r="E391" i="1"/>
  <c r="D391" i="1"/>
  <c r="C391" i="1"/>
  <c r="B391" i="1"/>
  <c r="A391" i="1"/>
  <c r="E392" i="1"/>
  <c r="D392" i="1"/>
  <c r="C392" i="1"/>
  <c r="B392" i="1"/>
  <c r="A392" i="1"/>
  <c r="E393" i="1"/>
  <c r="D393" i="1"/>
  <c r="C393" i="1"/>
  <c r="B393" i="1"/>
  <c r="A393" i="1"/>
  <c r="E394" i="1"/>
  <c r="D394" i="1"/>
  <c r="C394" i="1"/>
  <c r="B394" i="1"/>
  <c r="A394" i="1"/>
  <c r="E395" i="1"/>
  <c r="D395" i="1"/>
  <c r="C395" i="1"/>
  <c r="B395" i="1"/>
  <c r="A395" i="1"/>
  <c r="E396" i="1"/>
  <c r="D396" i="1"/>
  <c r="C396" i="1"/>
  <c r="B396" i="1"/>
  <c r="A396" i="1"/>
  <c r="E397" i="1"/>
  <c r="D397" i="1"/>
  <c r="C397" i="1"/>
  <c r="B397" i="1"/>
  <c r="A397" i="1"/>
  <c r="E398" i="1"/>
  <c r="D398" i="1"/>
  <c r="C398" i="1"/>
  <c r="B398" i="1"/>
  <c r="A398" i="1"/>
  <c r="E399" i="1"/>
  <c r="D399" i="1"/>
  <c r="C399" i="1"/>
  <c r="B399" i="1"/>
  <c r="A399" i="1"/>
  <c r="E400" i="1"/>
  <c r="D400" i="1"/>
  <c r="C400" i="1"/>
  <c r="B400" i="1"/>
  <c r="A400" i="1"/>
  <c r="E401" i="1"/>
  <c r="D401" i="1"/>
  <c r="C401" i="1"/>
  <c r="B401" i="1"/>
  <c r="A401" i="1"/>
  <c r="E402" i="1"/>
  <c r="D402" i="1"/>
  <c r="C402" i="1"/>
  <c r="B402" i="1"/>
  <c r="A402" i="1"/>
  <c r="E403" i="1"/>
  <c r="D403" i="1"/>
  <c r="C403" i="1"/>
  <c r="B403" i="1"/>
  <c r="A403" i="1"/>
  <c r="E404" i="1"/>
  <c r="D404" i="1"/>
  <c r="C404" i="1"/>
  <c r="B404" i="1"/>
  <c r="A404" i="1"/>
  <c r="E405" i="1"/>
  <c r="D405" i="1"/>
  <c r="C405" i="1"/>
  <c r="B405" i="1"/>
  <c r="A405" i="1"/>
  <c r="E406" i="1"/>
  <c r="D406" i="1"/>
  <c r="C406" i="1"/>
  <c r="B406" i="1"/>
  <c r="A406" i="1"/>
  <c r="E407" i="1"/>
  <c r="D407" i="1"/>
  <c r="C407" i="1"/>
  <c r="B407" i="1"/>
  <c r="A407" i="1"/>
  <c r="E408" i="1"/>
  <c r="D408" i="1"/>
  <c r="C408" i="1"/>
  <c r="B408" i="1"/>
  <c r="A408" i="1"/>
  <c r="E409" i="1"/>
  <c r="D409" i="1"/>
  <c r="C409" i="1"/>
  <c r="B409" i="1"/>
  <c r="A409" i="1"/>
  <c r="E410" i="1"/>
  <c r="D410" i="1"/>
  <c r="C410" i="1"/>
  <c r="B410" i="1"/>
  <c r="A410" i="1"/>
  <c r="E411" i="1"/>
  <c r="D411" i="1"/>
  <c r="C411" i="1"/>
  <c r="B411" i="1"/>
  <c r="A411" i="1"/>
  <c r="E412" i="1"/>
  <c r="D412" i="1"/>
  <c r="C412" i="1"/>
  <c r="B412" i="1"/>
  <c r="A412" i="1"/>
  <c r="E413" i="1"/>
  <c r="D413" i="1"/>
  <c r="C413" i="1"/>
  <c r="B413" i="1"/>
  <c r="A413" i="1"/>
  <c r="E414" i="1"/>
  <c r="D414" i="1"/>
  <c r="C414" i="1"/>
  <c r="B414" i="1"/>
  <c r="A414" i="1"/>
  <c r="E415" i="1"/>
  <c r="D415" i="1"/>
  <c r="C415" i="1"/>
  <c r="B415" i="1"/>
  <c r="A415" i="1"/>
  <c r="E416" i="1"/>
  <c r="D416" i="1"/>
  <c r="C416" i="1"/>
  <c r="B416" i="1"/>
  <c r="A416" i="1"/>
  <c r="E417" i="1"/>
  <c r="D417" i="1"/>
  <c r="C417" i="1"/>
  <c r="B417" i="1"/>
  <c r="A417" i="1"/>
  <c r="E418" i="1"/>
  <c r="D418" i="1"/>
  <c r="C418" i="1"/>
  <c r="B418" i="1"/>
  <c r="A418" i="1"/>
  <c r="E419" i="1"/>
  <c r="D419" i="1"/>
  <c r="C419" i="1"/>
  <c r="B419" i="1"/>
  <c r="A419" i="1"/>
  <c r="E420" i="1"/>
  <c r="D420" i="1"/>
  <c r="C420" i="1"/>
  <c r="B420" i="1"/>
  <c r="A420" i="1"/>
  <c r="E421" i="1"/>
  <c r="D421" i="1"/>
  <c r="C421" i="1"/>
  <c r="B421" i="1"/>
  <c r="A421" i="1"/>
  <c r="E422" i="1"/>
  <c r="D422" i="1"/>
  <c r="C422" i="1"/>
  <c r="B422" i="1"/>
  <c r="A422" i="1"/>
  <c r="E423" i="1"/>
  <c r="D423" i="1"/>
  <c r="C423" i="1"/>
  <c r="B423" i="1"/>
  <c r="A423" i="1"/>
  <c r="E424" i="1"/>
  <c r="D424" i="1"/>
  <c r="C424" i="1"/>
  <c r="B424" i="1"/>
  <c r="A424" i="1"/>
  <c r="E425" i="1"/>
  <c r="D425" i="1"/>
  <c r="C425" i="1"/>
  <c r="B425" i="1"/>
  <c r="A425" i="1"/>
  <c r="E426" i="1"/>
  <c r="D426" i="1"/>
  <c r="C426" i="1"/>
  <c r="B426" i="1"/>
  <c r="A426" i="1"/>
  <c r="E427" i="1"/>
  <c r="D427" i="1"/>
  <c r="C427" i="1"/>
  <c r="B427" i="1"/>
  <c r="A427" i="1"/>
  <c r="E428" i="1"/>
  <c r="D428" i="1"/>
  <c r="C428" i="1"/>
  <c r="B428" i="1"/>
  <c r="A428" i="1"/>
  <c r="E429" i="1"/>
  <c r="D429" i="1"/>
  <c r="C429" i="1"/>
  <c r="B429" i="1"/>
  <c r="A429" i="1"/>
  <c r="E430" i="1"/>
  <c r="D430" i="1"/>
  <c r="C430" i="1"/>
  <c r="B430" i="1"/>
  <c r="A430" i="1"/>
  <c r="E431" i="1"/>
  <c r="D431" i="1"/>
  <c r="C431" i="1"/>
  <c r="B431" i="1"/>
  <c r="A431" i="1"/>
  <c r="E432" i="1"/>
  <c r="D432" i="1"/>
  <c r="C432" i="1"/>
  <c r="B432" i="1"/>
  <c r="A432" i="1"/>
  <c r="E433" i="1"/>
  <c r="D433" i="1"/>
  <c r="C433" i="1"/>
  <c r="B433" i="1"/>
  <c r="A433" i="1"/>
  <c r="E434" i="1"/>
  <c r="D434" i="1"/>
  <c r="C434" i="1"/>
  <c r="B434" i="1"/>
  <c r="A434" i="1"/>
  <c r="E435" i="1"/>
  <c r="D435" i="1"/>
  <c r="C435" i="1"/>
  <c r="B435" i="1"/>
  <c r="A435" i="1"/>
  <c r="E436" i="1"/>
  <c r="D436" i="1"/>
  <c r="C436" i="1"/>
  <c r="B436" i="1"/>
  <c r="A436" i="1"/>
  <c r="E437" i="1"/>
  <c r="D437" i="1"/>
  <c r="C437" i="1"/>
  <c r="B437" i="1"/>
  <c r="A437" i="1"/>
  <c r="E438" i="1"/>
  <c r="D438" i="1"/>
  <c r="C438" i="1"/>
  <c r="B438" i="1"/>
  <c r="A438" i="1"/>
  <c r="E439" i="1"/>
  <c r="D439" i="1"/>
  <c r="C439" i="1"/>
  <c r="B439" i="1"/>
  <c r="A439" i="1"/>
  <c r="E440" i="1"/>
  <c r="D440" i="1"/>
  <c r="C440" i="1"/>
  <c r="B440" i="1"/>
  <c r="A440" i="1"/>
  <c r="E441" i="1"/>
  <c r="D441" i="1"/>
  <c r="C441" i="1"/>
  <c r="B441" i="1"/>
  <c r="A441" i="1"/>
  <c r="E442" i="1"/>
  <c r="D442" i="1"/>
  <c r="C442" i="1"/>
  <c r="B442" i="1"/>
  <c r="A442" i="1"/>
  <c r="E443" i="1"/>
  <c r="D443" i="1"/>
  <c r="C443" i="1"/>
  <c r="B443" i="1"/>
  <c r="A443" i="1"/>
  <c r="E444" i="1"/>
  <c r="D444" i="1"/>
  <c r="C444" i="1"/>
  <c r="B444" i="1"/>
  <c r="A444" i="1"/>
  <c r="E445" i="1"/>
  <c r="D445" i="1"/>
  <c r="C445" i="1"/>
  <c r="B445" i="1"/>
  <c r="A445" i="1"/>
  <c r="E446" i="1"/>
  <c r="D446" i="1"/>
  <c r="C446" i="1"/>
  <c r="B446" i="1"/>
  <c r="A446" i="1"/>
  <c r="E447" i="1"/>
  <c r="D447" i="1"/>
  <c r="C447" i="1"/>
  <c r="B447" i="1"/>
  <c r="A447" i="1"/>
  <c r="E448" i="1"/>
  <c r="D448" i="1"/>
  <c r="C448" i="1"/>
  <c r="B448" i="1"/>
  <c r="A448" i="1"/>
  <c r="E449" i="1"/>
  <c r="D449" i="1"/>
  <c r="C449" i="1"/>
  <c r="B449" i="1"/>
  <c r="A449" i="1"/>
  <c r="E450" i="1"/>
  <c r="D450" i="1"/>
  <c r="C450" i="1"/>
  <c r="B450" i="1"/>
  <c r="A450" i="1"/>
  <c r="E451" i="1"/>
  <c r="D451" i="1"/>
  <c r="C451" i="1"/>
  <c r="B451" i="1"/>
  <c r="A451" i="1"/>
  <c r="E452" i="1"/>
  <c r="D452" i="1"/>
  <c r="C452" i="1"/>
  <c r="B452" i="1"/>
  <c r="A452" i="1"/>
  <c r="E453" i="1"/>
  <c r="D453" i="1"/>
  <c r="C453" i="1"/>
  <c r="B453" i="1"/>
  <c r="A453" i="1"/>
  <c r="E454" i="1"/>
  <c r="D454" i="1"/>
  <c r="C454" i="1"/>
  <c r="B454" i="1"/>
  <c r="A454" i="1"/>
  <c r="E455" i="1"/>
  <c r="D455" i="1"/>
  <c r="C455" i="1"/>
  <c r="B455" i="1"/>
  <c r="A455" i="1"/>
  <c r="E456" i="1"/>
  <c r="D456" i="1"/>
  <c r="C456" i="1"/>
  <c r="B456" i="1"/>
  <c r="A456" i="1"/>
  <c r="E457" i="1"/>
  <c r="D457" i="1"/>
  <c r="C457" i="1"/>
  <c r="B457" i="1"/>
  <c r="A457" i="1"/>
  <c r="E458" i="1"/>
  <c r="D458" i="1"/>
  <c r="C458" i="1"/>
  <c r="B458" i="1"/>
  <c r="A458" i="1"/>
  <c r="E459" i="1"/>
  <c r="D459" i="1"/>
  <c r="C459" i="1"/>
  <c r="B459" i="1"/>
  <c r="A459" i="1"/>
  <c r="E460" i="1"/>
  <c r="D460" i="1"/>
  <c r="C460" i="1"/>
  <c r="B460" i="1"/>
  <c r="A460" i="1"/>
  <c r="E461" i="1"/>
  <c r="D461" i="1"/>
  <c r="C461" i="1"/>
  <c r="B461" i="1"/>
  <c r="A461" i="1"/>
  <c r="E462" i="1"/>
  <c r="D462" i="1"/>
  <c r="C462" i="1"/>
  <c r="B462" i="1"/>
  <c r="A462" i="1"/>
  <c r="E463" i="1"/>
  <c r="D463" i="1"/>
  <c r="C463" i="1"/>
  <c r="B463" i="1"/>
  <c r="A463" i="1"/>
  <c r="E464" i="1"/>
  <c r="D464" i="1"/>
  <c r="C464" i="1"/>
  <c r="B464" i="1"/>
  <c r="A464" i="1"/>
  <c r="E465" i="1"/>
  <c r="D465" i="1"/>
  <c r="C465" i="1"/>
  <c r="B465" i="1"/>
  <c r="A465" i="1"/>
  <c r="E466" i="1"/>
  <c r="D466" i="1"/>
  <c r="C466" i="1"/>
  <c r="B466" i="1"/>
  <c r="A466" i="1"/>
  <c r="E467" i="1"/>
  <c r="D467" i="1"/>
  <c r="C467" i="1"/>
  <c r="B467" i="1"/>
  <c r="A467" i="1"/>
  <c r="E468" i="1"/>
  <c r="C468" i="1"/>
  <c r="B468" i="1"/>
  <c r="A468" i="1"/>
  <c r="E469" i="1"/>
  <c r="C469" i="1"/>
  <c r="B469" i="1"/>
  <c r="A469" i="1"/>
  <c r="E470" i="1"/>
  <c r="C470" i="1"/>
  <c r="B470" i="1"/>
  <c r="A470" i="1"/>
  <c r="E471" i="1"/>
  <c r="C471" i="1"/>
  <c r="B471" i="1"/>
  <c r="A471" i="1"/>
  <c r="E472" i="1"/>
  <c r="C472" i="1"/>
  <c r="B472" i="1"/>
  <c r="A472" i="1"/>
  <c r="E473" i="1"/>
  <c r="C473" i="1"/>
  <c r="B473" i="1"/>
  <c r="A473" i="1"/>
  <c r="E474" i="1"/>
  <c r="C474" i="1"/>
  <c r="B474" i="1"/>
  <c r="A474" i="1"/>
  <c r="E475" i="1"/>
  <c r="C475" i="1"/>
  <c r="B475" i="1"/>
  <c r="A475" i="1"/>
  <c r="E476" i="1"/>
  <c r="C476" i="1"/>
  <c r="B476" i="1"/>
  <c r="A476" i="1"/>
  <c r="E477" i="1"/>
  <c r="C477" i="1"/>
  <c r="B477" i="1"/>
  <c r="A477" i="1"/>
  <c r="E478" i="1"/>
  <c r="C478" i="1"/>
  <c r="B478" i="1"/>
  <c r="A478" i="1"/>
  <c r="E479" i="1"/>
  <c r="C479" i="1"/>
  <c r="B479" i="1"/>
  <c r="A479" i="1"/>
  <c r="E480" i="1"/>
  <c r="C480" i="1"/>
  <c r="B480" i="1"/>
  <c r="A480" i="1"/>
  <c r="E481" i="1"/>
  <c r="C481" i="1"/>
  <c r="B481" i="1"/>
  <c r="A481" i="1"/>
  <c r="E482" i="1"/>
  <c r="C482" i="1"/>
  <c r="B482" i="1"/>
  <c r="A482" i="1"/>
  <c r="E483" i="1"/>
  <c r="C483" i="1"/>
  <c r="B483" i="1"/>
  <c r="A483" i="1"/>
  <c r="E484" i="1"/>
  <c r="D484" i="1"/>
  <c r="C484" i="1"/>
  <c r="B484" i="1"/>
  <c r="A484" i="1"/>
  <c r="E485" i="1"/>
  <c r="D485" i="1"/>
  <c r="C485" i="1"/>
  <c r="B485" i="1"/>
  <c r="A485" i="1"/>
  <c r="E486" i="1"/>
  <c r="D486" i="1"/>
  <c r="C486" i="1"/>
  <c r="B486" i="1"/>
  <c r="A486" i="1"/>
  <c r="E487" i="1"/>
  <c r="D487" i="1"/>
  <c r="C487" i="1"/>
  <c r="B487" i="1"/>
  <c r="A487" i="1"/>
  <c r="E488" i="1"/>
  <c r="D488" i="1"/>
  <c r="C488" i="1"/>
  <c r="B488" i="1"/>
  <c r="A488" i="1"/>
  <c r="E489" i="1"/>
  <c r="D489" i="1"/>
  <c r="C489" i="1"/>
  <c r="B489" i="1"/>
  <c r="A489" i="1"/>
  <c r="E490" i="1"/>
  <c r="D490" i="1"/>
  <c r="C490" i="1"/>
  <c r="B490" i="1"/>
  <c r="A490" i="1"/>
  <c r="E491" i="1"/>
  <c r="D491" i="1"/>
  <c r="C491" i="1"/>
  <c r="B491" i="1"/>
  <c r="A491" i="1"/>
  <c r="E492" i="1"/>
  <c r="C492" i="1"/>
  <c r="B492" i="1"/>
  <c r="A492" i="1"/>
  <c r="E493" i="1"/>
  <c r="C493" i="1"/>
  <c r="B493" i="1"/>
  <c r="A493" i="1"/>
  <c r="E494" i="1"/>
  <c r="C494" i="1"/>
  <c r="B494" i="1"/>
  <c r="A494" i="1"/>
  <c r="E495" i="1"/>
  <c r="C495" i="1"/>
  <c r="B495" i="1"/>
  <c r="A495" i="1"/>
  <c r="E496" i="1"/>
  <c r="C496" i="1"/>
  <c r="B496" i="1"/>
  <c r="A496" i="1"/>
  <c r="E497" i="1"/>
  <c r="C497" i="1"/>
  <c r="B497" i="1"/>
  <c r="A497" i="1"/>
  <c r="E498" i="1"/>
  <c r="C498" i="1"/>
  <c r="B498" i="1"/>
  <c r="A498" i="1"/>
  <c r="E499" i="1"/>
  <c r="C499" i="1"/>
  <c r="B499" i="1"/>
  <c r="A499" i="1"/>
  <c r="C3" i="1"/>
  <c r="B3" i="1"/>
</calcChain>
</file>

<file path=xl/sharedStrings.xml><?xml version="1.0" encoding="utf-8"?>
<sst xmlns="http://schemas.openxmlformats.org/spreadsheetml/2006/main" count="85" uniqueCount="61">
  <si>
    <t>SPEEDY</t>
  </si>
  <si>
    <t>U3267</t>
  </si>
  <si>
    <t>U3266</t>
  </si>
  <si>
    <t>U3261</t>
  </si>
  <si>
    <t>U3268</t>
  </si>
  <si>
    <t>U3260</t>
  </si>
  <si>
    <t>U3271</t>
  </si>
  <si>
    <t>U3265</t>
  </si>
  <si>
    <t>U3259</t>
  </si>
  <si>
    <t>U3270</t>
  </si>
  <si>
    <t>U3251</t>
  </si>
  <si>
    <t>U3263</t>
  </si>
  <si>
    <t>U3254</t>
  </si>
  <si>
    <t>U3269</t>
  </si>
  <si>
    <t>U3253</t>
  </si>
  <si>
    <t>U3264</t>
  </si>
  <si>
    <t>U3240</t>
  </si>
  <si>
    <t>U3241</t>
  </si>
  <si>
    <t>U3256</t>
  </si>
  <si>
    <t>U3238</t>
  </si>
  <si>
    <t>U3257</t>
  </si>
  <si>
    <t>U3258</t>
  </si>
  <si>
    <t>U3250</t>
  </si>
  <si>
    <t>U3239</t>
  </si>
  <si>
    <t>U3245</t>
  </si>
  <si>
    <t>U3242</t>
  </si>
  <si>
    <t>U3252</t>
  </si>
  <si>
    <t>U3246</t>
  </si>
  <si>
    <t>U3247</t>
  </si>
  <si>
    <t>U3243</t>
  </si>
  <si>
    <t>U3248</t>
  </si>
  <si>
    <t>U3244</t>
  </si>
  <si>
    <t>U3249</t>
  </si>
  <si>
    <t>U3051</t>
  </si>
  <si>
    <t>U3052</t>
  </si>
  <si>
    <t>U3274</t>
  </si>
  <si>
    <t>U3275</t>
  </si>
  <si>
    <t>U3276</t>
  </si>
  <si>
    <t>U3277</t>
  </si>
  <si>
    <t>U3278</t>
  </si>
  <si>
    <t>U3279</t>
  </si>
  <si>
    <t>U3049</t>
  </si>
  <si>
    <t>U3050</t>
  </si>
  <si>
    <t>U3053</t>
  </si>
  <si>
    <t>U3054</t>
  </si>
  <si>
    <t>U3055</t>
  </si>
  <si>
    <t>U3056</t>
  </si>
  <si>
    <t>U3272</t>
  </si>
  <si>
    <t>U3273</t>
  </si>
  <si>
    <t>U3287</t>
  </si>
  <si>
    <t>U3286</t>
  </si>
  <si>
    <t>U3285</t>
  </si>
  <si>
    <t>U3284</t>
  </si>
  <si>
    <t>U3283</t>
  </si>
  <si>
    <t>U3282</t>
  </si>
  <si>
    <t>U3281</t>
  </si>
  <si>
    <t>U3280</t>
  </si>
  <si>
    <t>Prime #</t>
  </si>
  <si>
    <t>Location</t>
  </si>
  <si>
    <t>Dayspring 16-ft Grid REFRESH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</si>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</sst>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6A00-6B92-4C68-B57E-C33A91EA564B}">
  <dimension ref="A1:E499"/>
  <sheetViews>
    <sheetView tabSelected="1" workbookViewId="0">
      <pane ySplit="3" topLeftCell="A4" activePane="bottomLeft" state="frozen"/>
      <selection pane="bottomLeft" activeCell="H10" sqref="H10"/>
    </sheetView>
  </sheetViews>
  <sheetFormatPr defaultRowHeight="15" x14ac:dyDescent="0.25"/>
  <cols>
    <col min="1" max="1" width="10.42578125" style="3" bestFit="1" customWidth="1"/>
    <col min="2" max="2" width="13.140625" style="3" bestFit="1" customWidth="1"/>
    <col min="3" max="3" width="63.140625" customWidth="1"/>
    <col min="4" max="4" width="10.140625" style="3" bestFit="1" customWidth="1"/>
    <col min="5" max="5" width="9.85546875" style="3" bestFit="1" customWidth="1"/>
  </cols>
  <sheetData>
    <row r="1" spans="1:5" ht="21" x14ac:dyDescent="0.35">
      <c r="C1" s="4" t="s">
        <v>59</v>
      </c>
      <c r="E1" s="5" t="s">
        <v>60</v>
      </c>
    </row>
    <row r="3" spans="1:5" x14ac:dyDescent="0.25">
      <c r="A3" s="2" t="s">
        <v>0</v>
      </c>
      <c r="B3" s="2" t="str">
        <f>"UPC"</f>
        <v>UPC</v>
      </c>
      <c r="C3" s="1" t="str">
        <f>"TITLE"</f>
        <v>TITLE</v>
      </c>
      <c r="D3" s="2" t="s">
        <v>57</v>
      </c>
      <c r="E3" s="2" t="s">
        <v>58</v>
      </c>
    </row>
    <row r="4" spans="1:5" x14ac:dyDescent="0.25">
      <c r="A4" s="3" t="str">
        <f>"279744"</f>
        <v>279744</v>
      </c>
      <c r="B4" s="3" t="str">
        <f>"81983764226"</f>
        <v>81983764226</v>
      </c>
      <c r="C4" t="str">
        <f>"EVERYDAY COUNTER-RELATIVE BD MOM PKG/6-J9033"</f>
        <v>EVERYDAY COUNTER-RELATIVE BD MOM PKG/6-J9033</v>
      </c>
      <c r="D4" s="3" t="str">
        <f>"J9033"</f>
        <v>J9033</v>
      </c>
      <c r="E4" s="3" t="str">
        <f>"ED16A001"</f>
        <v>ED16A001</v>
      </c>
    </row>
    <row r="5" spans="1:5" x14ac:dyDescent="0.25">
      <c r="A5" s="3" t="str">
        <f>"308419"</f>
        <v>308419</v>
      </c>
      <c r="B5" s="3" t="str">
        <f>"81983773846"</f>
        <v>81983773846</v>
      </c>
      <c r="C5" t="str">
        <f>"EVERYDAY COUNTER-RELATIVE BD MOM PKG/6-J2757"</f>
        <v>EVERYDAY COUNTER-RELATIVE BD MOM PKG/6-J2757</v>
      </c>
      <c r="D5" s="3" t="s">
        <v>1</v>
      </c>
      <c r="E5" s="3" t="str">
        <f>"ED16A002"</f>
        <v>ED16A002</v>
      </c>
    </row>
    <row r="6" spans="1:5" x14ac:dyDescent="0.25">
      <c r="A6" s="3" t="str">
        <f>"349520"</f>
        <v>349520</v>
      </c>
      <c r="B6" s="3" t="str">
        <f>"81983778315"</f>
        <v>81983778315</v>
      </c>
      <c r="C6" t="str">
        <f>"EVERYDAY COUNTER-RELATIVE BIRTHDAY PKG/6-U0452"</f>
        <v>EVERYDAY COUNTER-RELATIVE BIRTHDAY PKG/6-U0452</v>
      </c>
      <c r="D6" s="3" t="str">
        <f>"U0452"</f>
        <v>U0452</v>
      </c>
      <c r="E6" s="3" t="str">
        <f>"ED16A003"</f>
        <v>ED16A003</v>
      </c>
    </row>
    <row r="7" spans="1:5" x14ac:dyDescent="0.25">
      <c r="A7" s="3" t="str">
        <f>"349544"</f>
        <v>349544</v>
      </c>
      <c r="B7" s="3" t="str">
        <f>"81983778377"</f>
        <v>81983778377</v>
      </c>
      <c r="C7" t="str">
        <f>"EVERYDAY COUNTER-BIRTHDAY FOR HER PKG/2"</f>
        <v>EVERYDAY COUNTER-BIRTHDAY FOR HER PKG/2</v>
      </c>
      <c r="D7" s="3" t="s">
        <v>33</v>
      </c>
      <c r="E7" s="3" t="str">
        <f>"ED16A004"</f>
        <v>ED16A004</v>
      </c>
    </row>
    <row r="8" spans="1:5" x14ac:dyDescent="0.25">
      <c r="A8" s="3" t="str">
        <f>"349546"</f>
        <v>349546</v>
      </c>
      <c r="B8" s="3" t="str">
        <f>"81983778384"</f>
        <v>81983778384</v>
      </c>
      <c r="C8" t="str">
        <f>"EVERYDAY COUNTER-BIRTHDAY FOR HER PKG/2-U0469"</f>
        <v>EVERYDAY COUNTER-BIRTHDAY FOR HER PKG/2-U0469</v>
      </c>
      <c r="D8" s="3" t="s">
        <v>34</v>
      </c>
      <c r="E8" s="3" t="str">
        <f>"ED16A005"</f>
        <v>ED16A005</v>
      </c>
    </row>
    <row r="9" spans="1:5" x14ac:dyDescent="0.25">
      <c r="A9" s="3" t="str">
        <f>"279740"</f>
        <v>279740</v>
      </c>
      <c r="B9" s="3" t="str">
        <f>"81983773785"</f>
        <v>81983773785</v>
      </c>
      <c r="C9" t="str">
        <f>"EVERYDAY COUNTER-RELATIVE BD HUSBAND PKG/6-J9030"</f>
        <v>EVERYDAY COUNTER-RELATIVE BD HUSBAND PKG/6-J9030</v>
      </c>
      <c r="D9" s="3" t="s">
        <v>2</v>
      </c>
      <c r="E9" s="3" t="str">
        <f>"ED16A006"</f>
        <v>ED16A006</v>
      </c>
    </row>
    <row r="10" spans="1:5" x14ac:dyDescent="0.25">
      <c r="A10" s="3" t="str">
        <f>"349516"</f>
        <v>349516</v>
      </c>
      <c r="B10" s="3" t="str">
        <f>"81983778285"</f>
        <v>81983778285</v>
      </c>
      <c r="C10" t="str">
        <f>"EVERYDAY COUNTER-RELATIVE BIRTHDAY PKG/6-U0449"</f>
        <v>EVERYDAY COUNTER-RELATIVE BIRTHDAY PKG/6-U0449</v>
      </c>
      <c r="D10" s="3" t="str">
        <f>"U0449"</f>
        <v>U0449</v>
      </c>
      <c r="E10" s="3" t="str">
        <f>"ED16A007"</f>
        <v>ED16A007</v>
      </c>
    </row>
    <row r="11" spans="1:5" x14ac:dyDescent="0.25">
      <c r="A11" s="3" t="str">
        <f>"349460"</f>
        <v>349460</v>
      </c>
      <c r="B11" s="3" t="str">
        <f>"81983778063"</f>
        <v>81983778063</v>
      </c>
      <c r="C11" t="str">
        <f>"EVERYDAY COUNTER-RELATIVE BIRTHDAY PKG/6-U0427"</f>
        <v>EVERYDAY COUNTER-RELATIVE BIRTHDAY PKG/6-U0427</v>
      </c>
      <c r="D11" s="3" t="s">
        <v>3</v>
      </c>
      <c r="E11" s="3" t="str">
        <f>"ED16A008"</f>
        <v>ED16A008</v>
      </c>
    </row>
    <row r="12" spans="1:5" x14ac:dyDescent="0.25">
      <c r="A12" s="3" t="str">
        <f>"349488"</f>
        <v>349488</v>
      </c>
      <c r="B12" s="3" t="str">
        <f>"81983778148"</f>
        <v>81983778148</v>
      </c>
      <c r="C12" t="str">
        <f>"EVERYDAY COUNTER-RELATIVE BIRTHDAY PKG/6-U0435"</f>
        <v>EVERYDAY COUNTER-RELATIVE BIRTHDAY PKG/6-U0435</v>
      </c>
      <c r="D12" s="3" t="s">
        <v>4</v>
      </c>
      <c r="E12" s="3" t="str">
        <f>"ED16A009"</f>
        <v>ED16A009</v>
      </c>
    </row>
    <row r="13" spans="1:5" x14ac:dyDescent="0.25">
      <c r="A13" s="3" t="str">
        <f>"279515"</f>
        <v>279515</v>
      </c>
      <c r="B13" s="3" t="str">
        <f>"81983738722"</f>
        <v>81983738722</v>
      </c>
      <c r="C13" t="str">
        <f>"EVERYDAY COUNTER-REL BD  MOTHER-IN-LAW PKG/6-J5539"</f>
        <v>EVERYDAY COUNTER-REL BD  MOTHER-IN-LAW PKG/6-J5539</v>
      </c>
      <c r="D13" s="3" t="str">
        <f>"J5539"</f>
        <v>J5539</v>
      </c>
      <c r="E13" s="3" t="str">
        <f>"ED16A010"</f>
        <v>ED16A010</v>
      </c>
    </row>
    <row r="14" spans="1:5" x14ac:dyDescent="0.25">
      <c r="A14" s="3" t="str">
        <f>"308329"</f>
        <v>308329</v>
      </c>
      <c r="B14" s="3" t="str">
        <f>"81983685736"</f>
        <v>81983685736</v>
      </c>
      <c r="C14" t="str">
        <f>"EVERYDAY COUNTER-BIRTHDAY WIFE PKG/6-J0359"</f>
        <v>EVERYDAY COUNTER-BIRTHDAY WIFE PKG/6-J0359</v>
      </c>
      <c r="D14" s="3" t="str">
        <f>"J0359"</f>
        <v>J0359</v>
      </c>
      <c r="E14" s="3" t="str">
        <f>"ED16A011"</f>
        <v>ED16A011</v>
      </c>
    </row>
    <row r="15" spans="1:5" x14ac:dyDescent="0.25">
      <c r="A15" s="3" t="str">
        <f>"349529"</f>
        <v>349529</v>
      </c>
      <c r="B15" s="3" t="str">
        <f>"81983778476"</f>
        <v>81983778476</v>
      </c>
      <c r="C15" t="str">
        <f>"EVERYDAY COUNTER-BIRTHDAY PKG/6-U0478"</f>
        <v>EVERYDAY COUNTER-BIRTHDAY PKG/6-U0478</v>
      </c>
      <c r="D15" s="3" t="s">
        <v>35</v>
      </c>
      <c r="E15" s="3" t="str">
        <f>"ED16A012"</f>
        <v>ED16A012</v>
      </c>
    </row>
    <row r="16" spans="1:5" x14ac:dyDescent="0.25">
      <c r="A16" s="3" t="str">
        <f>"349530"</f>
        <v>349530</v>
      </c>
      <c r="B16" s="3" t="str">
        <f>"81983778483"</f>
        <v>81983778483</v>
      </c>
      <c r="C16" t="str">
        <f>"EVERYDAY COUNTER-BIRTHDAY PKG/6-U0479"</f>
        <v>EVERYDAY COUNTER-BIRTHDAY PKG/6-U0479</v>
      </c>
      <c r="D16" s="3" t="s">
        <v>36</v>
      </c>
      <c r="E16" s="3" t="str">
        <f>"ED16A013"</f>
        <v>ED16A013</v>
      </c>
    </row>
    <row r="17" spans="1:5" x14ac:dyDescent="0.25">
      <c r="A17" s="3" t="str">
        <f>"349472"</f>
        <v>349472</v>
      </c>
      <c r="B17" s="3" t="str">
        <f>"81983778100"</f>
        <v>81983778100</v>
      </c>
      <c r="C17" t="str">
        <f>"EVERYDAY COUNTER-RELATIVE BIRTHDAY PKG/6-U0431"</f>
        <v>EVERYDAY COUNTER-RELATIVE BIRTHDAY PKG/6-U0431</v>
      </c>
      <c r="D17" s="3" t="str">
        <f>"U0431"</f>
        <v>U0431</v>
      </c>
      <c r="E17" s="3" t="str">
        <f>"ED16A014"</f>
        <v>ED16A014</v>
      </c>
    </row>
    <row r="18" spans="1:5" x14ac:dyDescent="0.25">
      <c r="A18" s="3" t="str">
        <f>"349514"</f>
        <v>349514</v>
      </c>
      <c r="B18" s="3" t="str">
        <f>"81983778278"</f>
        <v>81983778278</v>
      </c>
      <c r="C18" t="str">
        <f>"EVERYDAY COUNTER-RELATIVE BIRTHDAY PKG/6-U0448"</f>
        <v>EVERYDAY COUNTER-RELATIVE BIRTHDAY PKG/6-U0448</v>
      </c>
      <c r="D18" s="3" t="str">
        <f>"U0448"</f>
        <v>U0448</v>
      </c>
      <c r="E18" s="3" t="str">
        <f>"ED16A015"</f>
        <v>ED16A015</v>
      </c>
    </row>
    <row r="19" spans="1:5" x14ac:dyDescent="0.25">
      <c r="A19" s="3" t="str">
        <f>"308410"</f>
        <v>308410</v>
      </c>
      <c r="B19" s="3" t="str">
        <f>"81983773624"</f>
        <v>81983773624</v>
      </c>
      <c r="C19" t="str">
        <f>"EVERYDAY COUNTER-RELATIVE BD DAD PKG/6-J2744"</f>
        <v>EVERYDAY COUNTER-RELATIVE BD DAD PKG/6-J2744</v>
      </c>
      <c r="D19" s="3" t="str">
        <f>"J2744"</f>
        <v>J2744</v>
      </c>
      <c r="E19" s="3" t="str">
        <f>"ED16A016"</f>
        <v>ED16A016</v>
      </c>
    </row>
    <row r="20" spans="1:5" x14ac:dyDescent="0.25">
      <c r="A20" s="3" t="str">
        <f>"279746"</f>
        <v>279746</v>
      </c>
      <c r="B20" s="3" t="str">
        <f>"81983773822"</f>
        <v>81983773822</v>
      </c>
      <c r="C20" t="str">
        <f>"EVERYDAY COUNTER-RELATIVE BD MOM PKG/6-J9035"</f>
        <v>EVERYDAY COUNTER-RELATIVE BD MOM PKG/6-J9035</v>
      </c>
      <c r="D20" s="3" t="str">
        <f>"J9035"</f>
        <v>J9035</v>
      </c>
      <c r="E20" s="3" t="str">
        <f>"ED16A017"</f>
        <v>ED16A017</v>
      </c>
    </row>
    <row r="21" spans="1:5" x14ac:dyDescent="0.25">
      <c r="A21" s="3" t="str">
        <f>"349457"</f>
        <v>349457</v>
      </c>
      <c r="B21" s="3" t="str">
        <f>"81983778032"</f>
        <v>81983778032</v>
      </c>
      <c r="C21" t="str">
        <f>"EVERYDAY COUNTER-RELATIVE BIRTHDAY PKG/6-U0424"</f>
        <v>EVERYDAY COUNTER-RELATIVE BIRTHDAY PKG/6-U0424</v>
      </c>
      <c r="D21" s="3" t="s">
        <v>5</v>
      </c>
      <c r="E21" s="3" t="str">
        <f>"ED16A018"</f>
        <v>ED16A018</v>
      </c>
    </row>
    <row r="22" spans="1:5" x14ac:dyDescent="0.25">
      <c r="A22" s="3" t="str">
        <f>"298666"</f>
        <v>298666</v>
      </c>
      <c r="B22" s="3" t="str">
        <f>"81983774225"</f>
        <v>81983774225</v>
      </c>
      <c r="C22" t="str">
        <f>"EVERYDAY COUNTER-BDAY WIFE PKG/6-10230"</f>
        <v>EVERYDAY COUNTER-BDAY WIFE PKG/6-10230</v>
      </c>
      <c r="D22" s="3" t="str">
        <f>"10230"</f>
        <v>10230</v>
      </c>
      <c r="E22" s="3" t="str">
        <f>"ED16A019"</f>
        <v>ED16A019</v>
      </c>
    </row>
    <row r="23" spans="1:5" x14ac:dyDescent="0.25">
      <c r="A23" s="3" t="str">
        <f>"349531"</f>
        <v>349531</v>
      </c>
      <c r="B23" s="3" t="str">
        <f>"81983778490"</f>
        <v>81983778490</v>
      </c>
      <c r="C23" t="str">
        <f>"EVERYDAY COUNTER-BIRTHDAY PKG/6-U0480"</f>
        <v>EVERYDAY COUNTER-BIRTHDAY PKG/6-U0480</v>
      </c>
      <c r="D23" s="3" t="s">
        <v>37</v>
      </c>
      <c r="E23" s="3" t="str">
        <f>"ED16A020"</f>
        <v>ED16A020</v>
      </c>
    </row>
    <row r="24" spans="1:5" x14ac:dyDescent="0.25">
      <c r="A24" s="3" t="str">
        <f>"349532"</f>
        <v>349532</v>
      </c>
      <c r="B24" s="3" t="str">
        <f>"81983778506"</f>
        <v>81983778506</v>
      </c>
      <c r="C24" t="str">
        <f>"EVERYDAY COUNTER-BIRTHDAY PKG/6-U0481"</f>
        <v>EVERYDAY COUNTER-BIRTHDAY PKG/6-U0481</v>
      </c>
      <c r="D24" s="3" t="s">
        <v>38</v>
      </c>
      <c r="E24" s="3" t="str">
        <f>"ED16A021"</f>
        <v>ED16A021</v>
      </c>
    </row>
    <row r="25" spans="1:5" x14ac:dyDescent="0.25">
      <c r="A25" s="3" t="str">
        <f>"308309"</f>
        <v>308309</v>
      </c>
      <c r="B25" s="3" t="str">
        <f>"81983685521"</f>
        <v>81983685521</v>
      </c>
      <c r="C25" t="str">
        <f>"EVERYDAY COUNTER-BIRTHDAY HUSBAND PKG/6-J0338"</f>
        <v>EVERYDAY COUNTER-BIRTHDAY HUSBAND PKG/6-J0338</v>
      </c>
      <c r="D25" s="3" t="str">
        <f>"J0338"</f>
        <v>J0338</v>
      </c>
      <c r="E25" s="3" t="str">
        <f>"ED16A022"</f>
        <v>ED16A022</v>
      </c>
    </row>
    <row r="26" spans="1:5" x14ac:dyDescent="0.25">
      <c r="A26" s="3" t="str">
        <f>"298716"</f>
        <v>298716</v>
      </c>
      <c r="B26" s="3" t="str">
        <f>"81983774133"</f>
        <v>81983774133</v>
      </c>
      <c r="C26" t="str">
        <f>"EVERYDAY COUNTER-BIRTHDAY SON PKG/6-10302"</f>
        <v>EVERYDAY COUNTER-BIRTHDAY SON PKG/6-10302</v>
      </c>
      <c r="D26" s="3" t="str">
        <f>"10302"</f>
        <v>10302</v>
      </c>
      <c r="E26" s="3" t="str">
        <f>"ED16A023"</f>
        <v>ED16A023</v>
      </c>
    </row>
    <row r="27" spans="1:5" x14ac:dyDescent="0.25">
      <c r="A27" s="3" t="str">
        <f>"298715"</f>
        <v>298715</v>
      </c>
      <c r="B27" s="3" t="str">
        <f>"81983773617"</f>
        <v>81983773617</v>
      </c>
      <c r="C27" t="str">
        <f>"EVERYDAY COUNTER-BIRTHDAY DAD PKG/6-10300"</f>
        <v>EVERYDAY COUNTER-BIRTHDAY DAD PKG/6-10300</v>
      </c>
      <c r="D27" s="3" t="str">
        <f>"10300"</f>
        <v>10300</v>
      </c>
      <c r="E27" s="3" t="str">
        <f>"ED16A024"</f>
        <v>ED16A024</v>
      </c>
    </row>
    <row r="28" spans="1:5" x14ac:dyDescent="0.25">
      <c r="A28" s="3" t="str">
        <f>"308311"</f>
        <v>308311</v>
      </c>
      <c r="B28" s="3" t="str">
        <f>"81983685545"</f>
        <v>81983685545</v>
      </c>
      <c r="C28" t="str">
        <f>"EVERYDAY COUNTER-BIRTHDAY MOM PKG/6-J0340"</f>
        <v>EVERYDAY COUNTER-BIRTHDAY MOM PKG/6-J0340</v>
      </c>
      <c r="D28" s="3" t="str">
        <f>"J0340"</f>
        <v>J0340</v>
      </c>
      <c r="E28" s="3" t="str">
        <f>"ED16A025"</f>
        <v>ED16A025</v>
      </c>
    </row>
    <row r="29" spans="1:5" x14ac:dyDescent="0.25">
      <c r="A29" s="3" t="str">
        <f>"349454"</f>
        <v>349454</v>
      </c>
      <c r="B29" s="3" t="str">
        <f>"81983778025"</f>
        <v>81983778025</v>
      </c>
      <c r="C29" t="str">
        <f>"EVERYDAY COUNTER-RELATIVE BIRTHDAY PKG/6-U0423"</f>
        <v>EVERYDAY COUNTER-RELATIVE BIRTHDAY PKG/6-U0423</v>
      </c>
      <c r="D29" s="3" t="str">
        <f>"U0423"</f>
        <v>U0423</v>
      </c>
      <c r="E29" s="3" t="str">
        <f>"ED16A026"</f>
        <v>ED16A026</v>
      </c>
    </row>
    <row r="30" spans="1:5" x14ac:dyDescent="0.25">
      <c r="A30" s="3" t="str">
        <f>"279532"</f>
        <v>279532</v>
      </c>
      <c r="B30" s="3" t="str">
        <f>"81983738883"</f>
        <v>81983738883</v>
      </c>
      <c r="C30" t="str">
        <f>"EVERYDAY COUNTER-REL BD WIFE PKG/6-J5555"</f>
        <v>EVERYDAY COUNTER-REL BD WIFE PKG/6-J5555</v>
      </c>
      <c r="D30" s="3" t="str">
        <f>"J5555"</f>
        <v>J5555</v>
      </c>
      <c r="E30" s="3" t="str">
        <f>"ED16A027"</f>
        <v>ED16A027</v>
      </c>
    </row>
    <row r="31" spans="1:5" x14ac:dyDescent="0.25">
      <c r="A31" s="3" t="str">
        <f>"349533"</f>
        <v>349533</v>
      </c>
      <c r="B31" s="3" t="str">
        <f>"81983778513"</f>
        <v>81983778513</v>
      </c>
      <c r="C31" t="str">
        <f>"EVERYDAY COUNTER-BIRTHDAY PKG/6-U0482"</f>
        <v>EVERYDAY COUNTER-BIRTHDAY PKG/6-U0482</v>
      </c>
      <c r="D31" s="3" t="s">
        <v>39</v>
      </c>
      <c r="E31" s="3" t="str">
        <f>"ED16A028"</f>
        <v>ED16A028</v>
      </c>
    </row>
    <row r="32" spans="1:5" x14ac:dyDescent="0.25">
      <c r="A32" s="3" t="str">
        <f>"349534"</f>
        <v>349534</v>
      </c>
      <c r="B32" s="3" t="str">
        <f>"81983778520"</f>
        <v>81983778520</v>
      </c>
      <c r="C32" t="str">
        <f>"EVERYDAY COUNTER-BIRTHDAY PKG/6-U0483"</f>
        <v>EVERYDAY COUNTER-BIRTHDAY PKG/6-U0483</v>
      </c>
      <c r="D32" s="3" t="s">
        <v>40</v>
      </c>
      <c r="E32" s="3" t="str">
        <f>"ED16A029"</f>
        <v>ED16A029</v>
      </c>
    </row>
    <row r="33" spans="1:5" x14ac:dyDescent="0.25">
      <c r="A33" s="3" t="str">
        <f>"308416"</f>
        <v>308416</v>
      </c>
      <c r="B33" s="3" t="str">
        <f>"81983715266"</f>
        <v>81983715266</v>
      </c>
      <c r="C33" t="str">
        <f>"EVERYDAY COUNTER-RELATIVE BD HUSBAND PKG/6-J2752"</f>
        <v>EVERYDAY COUNTER-RELATIVE BD HUSBAND PKG/6-J2752</v>
      </c>
      <c r="D33" s="3" t="str">
        <f>"J2752"</f>
        <v>J2752</v>
      </c>
      <c r="E33" s="3" t="str">
        <f>"ED16A030"</f>
        <v>ED16A030</v>
      </c>
    </row>
    <row r="34" spans="1:5" x14ac:dyDescent="0.25">
      <c r="A34" s="3" t="str">
        <f>"298784"</f>
        <v>298784</v>
      </c>
      <c r="B34" s="3" t="str">
        <f>"81983678394"</f>
        <v>81983678394</v>
      </c>
      <c r="C34" t="str">
        <f>"EVERYDAY COUNTER-SON BIRTHDAY-27076"</f>
        <v>EVERYDAY COUNTER-SON BIRTHDAY-27076</v>
      </c>
      <c r="D34" s="3" t="str">
        <f>"27076"</f>
        <v>27076</v>
      </c>
      <c r="E34" s="3" t="str">
        <f>"ED16A031"</f>
        <v>ED16A031</v>
      </c>
    </row>
    <row r="35" spans="1:5" x14ac:dyDescent="0.25">
      <c r="A35" s="3" t="str">
        <f>"298790"</f>
        <v>298790</v>
      </c>
      <c r="B35" s="3" t="str">
        <f>"81983603389"</f>
        <v>81983603389</v>
      </c>
      <c r="C35" t="str">
        <f>"EVERYDAY COUNTER-DAD-39185"</f>
        <v>EVERYDAY COUNTER-DAD-39185</v>
      </c>
      <c r="D35" s="3" t="str">
        <f>"39185"</f>
        <v>39185</v>
      </c>
      <c r="E35" s="3" t="str">
        <f>"ED16A032"</f>
        <v>ED16A032</v>
      </c>
    </row>
    <row r="36" spans="1:5" x14ac:dyDescent="0.25">
      <c r="A36" s="3" t="str">
        <f>"349490"</f>
        <v>349490</v>
      </c>
      <c r="B36" s="3" t="str">
        <f>"81983778131"</f>
        <v>81983778131</v>
      </c>
      <c r="C36" t="str">
        <f>"EVERYDAY COUNTER-RELATIVE BIRTHDAY PKG/6-U0434"</f>
        <v>EVERYDAY COUNTER-RELATIVE BIRTHDAY PKG/6-U0434</v>
      </c>
      <c r="D36" s="3" t="str">
        <f>"U0434"</f>
        <v>U0434</v>
      </c>
      <c r="E36" s="3" t="str">
        <f>"ED16A033"</f>
        <v>ED16A033</v>
      </c>
    </row>
    <row r="37" spans="1:5" x14ac:dyDescent="0.25">
      <c r="A37" s="3" t="str">
        <f>"279486"</f>
        <v>279486</v>
      </c>
      <c r="B37" s="3" t="str">
        <f>"81983773549"</f>
        <v>81983773549</v>
      </c>
      <c r="C37" t="str">
        <f>"EVERYDAY COUNTER-REL BD DAUGHTER ADULT PKG/6-J5518"</f>
        <v>EVERYDAY COUNTER-REL BD DAUGHTER ADULT PKG/6-J5518</v>
      </c>
      <c r="D37" s="3" t="str">
        <f>"J5518"</f>
        <v>J5518</v>
      </c>
      <c r="E37" s="3" t="str">
        <f>"ED16A034"</f>
        <v>ED16A034</v>
      </c>
    </row>
    <row r="38" spans="1:5" x14ac:dyDescent="0.25">
      <c r="A38" s="3" t="str">
        <f>"307892"</f>
        <v>307892</v>
      </c>
      <c r="B38" s="3" t="str">
        <f>"81983774249"</f>
        <v>81983774249</v>
      </c>
      <c r="C38" t="str">
        <f>"EVERYDAY COUNTER-RELATIVE BDAY-WIFE-44113"</f>
        <v>EVERYDAY COUNTER-RELATIVE BDAY-WIFE-44113</v>
      </c>
      <c r="D38" s="3" t="s">
        <v>6</v>
      </c>
      <c r="E38" s="3" t="str">
        <f>"ED16A035"</f>
        <v>ED16A035</v>
      </c>
    </row>
    <row r="39" spans="1:5" x14ac:dyDescent="0.25">
      <c r="A39" s="3" t="str">
        <f>"279522"</f>
        <v>279522</v>
      </c>
      <c r="B39" s="3" t="str">
        <f>"81983738791"</f>
        <v>81983738791</v>
      </c>
      <c r="C39" t="str">
        <f>"EVERYDAY COUNTER-REL BD ONE I LOVE FEM PKG/6-J5546"</f>
        <v>EVERYDAY COUNTER-REL BD ONE I LOVE FEM PKG/6-J5546</v>
      </c>
      <c r="D39" s="3" t="str">
        <f>"J5546"</f>
        <v>J5546</v>
      </c>
      <c r="E39" s="3" t="str">
        <f>"ED16A036"</f>
        <v>ED16A036</v>
      </c>
    </row>
    <row r="40" spans="1:5" x14ac:dyDescent="0.25">
      <c r="A40" s="3" t="str">
        <f>"279753"</f>
        <v>279753</v>
      </c>
      <c r="B40" s="3" t="str">
        <f>"81983773969"</f>
        <v>81983773969</v>
      </c>
      <c r="C40" t="str">
        <f>"EVERYDAY COUNTER-RELATIVE BD ONE I LOVE MASC PKG/6-J9041"</f>
        <v>EVERYDAY COUNTER-RELATIVE BD ONE I LOVE MASC PKG/6-J9041</v>
      </c>
      <c r="D40" s="3" t="str">
        <f>"J9041"</f>
        <v>J9041</v>
      </c>
      <c r="E40" s="3" t="str">
        <f>"ED16A037"</f>
        <v>ED16A037</v>
      </c>
    </row>
    <row r="41" spans="1:5" x14ac:dyDescent="0.25">
      <c r="A41" s="3" t="str">
        <f>"298690"</f>
        <v>298690</v>
      </c>
      <c r="B41" s="3" t="str">
        <f>"81983773808"</f>
        <v>81983773808</v>
      </c>
      <c r="C41" t="str">
        <f>"EVERYDAY COUNTER-BIRTHDAY HUSBAND PKG/6-10266"</f>
        <v>EVERYDAY COUNTER-BIRTHDAY HUSBAND PKG/6-10266</v>
      </c>
      <c r="D41" s="3" t="s">
        <v>7</v>
      </c>
      <c r="E41" s="3" t="str">
        <f>"ED16A038"</f>
        <v>ED16A038</v>
      </c>
    </row>
    <row r="42" spans="1:5" x14ac:dyDescent="0.25">
      <c r="A42" s="3" t="str">
        <f>"349517"</f>
        <v>349517</v>
      </c>
      <c r="B42" s="3" t="str">
        <f>"81983778261"</f>
        <v>81983778261</v>
      </c>
      <c r="C42" t="str">
        <f>"EVERYDAY COUNTER-RELATIVE BIRTHDAY PKG/6-U0447"</f>
        <v>EVERYDAY COUNTER-RELATIVE BIRTHDAY PKG/6-U0447</v>
      </c>
      <c r="D42" s="3" t="str">
        <f>"U0447"</f>
        <v>U0447</v>
      </c>
      <c r="E42" s="3" t="str">
        <f>"ED16A039"</f>
        <v>ED16A039</v>
      </c>
    </row>
    <row r="43" spans="1:5" x14ac:dyDescent="0.25">
      <c r="A43" s="3" t="str">
        <f>"298688"</f>
        <v>298688</v>
      </c>
      <c r="B43" s="3" t="str">
        <f>"81983652127"</f>
        <v>81983652127</v>
      </c>
      <c r="C43" t="str">
        <f>"EVERYDAY COUNTER-BIRTHDAY DAD PKG/6-10261"</f>
        <v>EVERYDAY COUNTER-BIRTHDAY DAD PKG/6-10261</v>
      </c>
      <c r="D43" s="3" t="str">
        <f>"10261"</f>
        <v>10261</v>
      </c>
      <c r="E43" s="3" t="str">
        <f>"ED16A040"</f>
        <v>ED16A040</v>
      </c>
    </row>
    <row r="44" spans="1:5" x14ac:dyDescent="0.25">
      <c r="A44" s="3" t="str">
        <f>"349491"</f>
        <v>349491</v>
      </c>
      <c r="B44" s="3" t="str">
        <f>"81983778124"</f>
        <v>81983778124</v>
      </c>
      <c r="C44" t="str">
        <f>"EVERYDAY COUNTER-RELATIVE BIRTHDAY PKG/6-U0433"</f>
        <v>EVERYDAY COUNTER-RELATIVE BIRTHDAY PKG/6-U0433</v>
      </c>
      <c r="D44" s="3" t="str">
        <f>"U0433"</f>
        <v>U0433</v>
      </c>
      <c r="E44" s="3" t="str">
        <f>"ED16A041"</f>
        <v>ED16A041</v>
      </c>
    </row>
    <row r="45" spans="1:5" x14ac:dyDescent="0.25">
      <c r="A45" s="3" t="str">
        <f>"349456"</f>
        <v>349456</v>
      </c>
      <c r="B45" s="3" t="str">
        <f>"81983778018"</f>
        <v>81983778018</v>
      </c>
      <c r="C45" t="str">
        <f>"EVERYDAY COUNTER-RELATIVE BIRTHDAY PKG/6-U0422"</f>
        <v>EVERYDAY COUNTER-RELATIVE BIRTHDAY PKG/6-U0422</v>
      </c>
      <c r="D45" s="3" t="str">
        <f>"U0422"</f>
        <v>U0422</v>
      </c>
      <c r="E45" s="3" t="str">
        <f>"ED16A042"</f>
        <v>ED16A042</v>
      </c>
    </row>
    <row r="46" spans="1:5" x14ac:dyDescent="0.25">
      <c r="A46" s="3" t="str">
        <f>"349519"</f>
        <v>349519</v>
      </c>
      <c r="B46" s="3" t="str">
        <f>"81983778308"</f>
        <v>81983778308</v>
      </c>
      <c r="C46" t="str">
        <f>"EVERYDAY COUNTER-RELATIVE BIRTHDAY PKG/6-U0451"</f>
        <v>EVERYDAY COUNTER-RELATIVE BIRTHDAY PKG/6-U0451</v>
      </c>
      <c r="D46" s="3" t="str">
        <f>"U0451"</f>
        <v>U0451</v>
      </c>
      <c r="E46" s="3" t="str">
        <f>"ED16A043"</f>
        <v>ED16A043</v>
      </c>
    </row>
    <row r="47" spans="1:5" x14ac:dyDescent="0.25">
      <c r="A47" s="3" t="str">
        <f>"349507"</f>
        <v>349507</v>
      </c>
      <c r="B47" s="3" t="str">
        <f>"81983778193"</f>
        <v>81983778193</v>
      </c>
      <c r="C47" t="str">
        <f>"EVERYDAY COUNTER-RELATIVE BIRTHDAY PKG/6-U0440"</f>
        <v>EVERYDAY COUNTER-RELATIVE BIRTHDAY PKG/6-U0440</v>
      </c>
      <c r="D47" s="3" t="str">
        <f>"U0440"</f>
        <v>U0440</v>
      </c>
      <c r="E47" s="3" t="str">
        <f>"ED16A044"</f>
        <v>ED16A044</v>
      </c>
    </row>
    <row r="48" spans="1:5" x14ac:dyDescent="0.25">
      <c r="A48" s="3" t="str">
        <f>"308318"</f>
        <v>308318</v>
      </c>
      <c r="B48" s="3" t="str">
        <f>"81983685620"</f>
        <v>81983685620</v>
      </c>
      <c r="C48" t="str">
        <f>"EVERYDAY COUNTER-BIRTHDAY FOR HIM PKG/6-J0348"</f>
        <v>EVERYDAY COUNTER-BIRTHDAY FOR HIM PKG/6-J0348</v>
      </c>
      <c r="D48" s="3" t="str">
        <f>"J0348"</f>
        <v>J0348</v>
      </c>
      <c r="E48" s="3" t="str">
        <f>"ED16A045"</f>
        <v>ED16A045</v>
      </c>
    </row>
    <row r="49" spans="1:5" x14ac:dyDescent="0.25">
      <c r="A49" s="3" t="str">
        <f>"298689"</f>
        <v>298689</v>
      </c>
      <c r="B49" s="3" t="str">
        <f>"81983652158"</f>
        <v>81983652158</v>
      </c>
      <c r="C49" t="str">
        <f>"EVERYDAY COUNTER-BIRTHDAY HUSBAND PKG/6-10264"</f>
        <v>EVERYDAY COUNTER-BIRTHDAY HUSBAND PKG/6-10264</v>
      </c>
      <c r="D49" s="3" t="str">
        <f>"10264"</f>
        <v>10264</v>
      </c>
      <c r="E49" s="3" t="str">
        <f>"ED16A046"</f>
        <v>ED16A046</v>
      </c>
    </row>
    <row r="50" spans="1:5" x14ac:dyDescent="0.25">
      <c r="A50" s="3" t="str">
        <f>"349515"</f>
        <v>349515</v>
      </c>
      <c r="B50" s="3" t="str">
        <f>"81983778254"</f>
        <v>81983778254</v>
      </c>
      <c r="C50" t="str">
        <f>"EVERYDAY COUNTER-RELATIVE BIRTHDAY PKG/6-U0446"</f>
        <v>EVERYDAY COUNTER-RELATIVE BIRTHDAY PKG/6-U0446</v>
      </c>
      <c r="D50" s="3" t="str">
        <f>"U0446"</f>
        <v>U0446</v>
      </c>
      <c r="E50" s="3" t="str">
        <f>"ED16A047"</f>
        <v>ED16A047</v>
      </c>
    </row>
    <row r="51" spans="1:5" x14ac:dyDescent="0.25">
      <c r="A51" s="3" t="str">
        <f>"349461"</f>
        <v>349461</v>
      </c>
      <c r="B51" s="3" t="str">
        <f>"81983778070"</f>
        <v>81983778070</v>
      </c>
      <c r="C51" t="str">
        <f>"EVERYDAY COUNTER-RELATIVE BIRTHDAY PKG/6-U0428"</f>
        <v>EVERYDAY COUNTER-RELATIVE BIRTHDAY PKG/6-U0428</v>
      </c>
      <c r="D51" s="3" t="str">
        <f>"U0428"</f>
        <v>U0428</v>
      </c>
      <c r="E51" s="3" t="str">
        <f>"ED16A048"</f>
        <v>ED16A048</v>
      </c>
    </row>
    <row r="52" spans="1:5" x14ac:dyDescent="0.25">
      <c r="A52" s="3" t="str">
        <f>"349487"</f>
        <v>349487</v>
      </c>
      <c r="B52" s="3" t="str">
        <f>"81983778117"</f>
        <v>81983778117</v>
      </c>
      <c r="C52" t="str">
        <f>"EVERYDAY COUNTER-RELATIVE BIRTHDAY PKG/6-U0432"</f>
        <v>EVERYDAY COUNTER-RELATIVE BIRTHDAY PKG/6-U0432</v>
      </c>
      <c r="D52" s="3" t="str">
        <f>"U0432"</f>
        <v>U0432</v>
      </c>
      <c r="E52" s="3" t="str">
        <f>"ED16A049"</f>
        <v>ED16A049</v>
      </c>
    </row>
    <row r="53" spans="1:5" x14ac:dyDescent="0.25">
      <c r="A53" s="3" t="str">
        <f>"308028"</f>
        <v>308028</v>
      </c>
      <c r="B53" s="3" t="str">
        <f>"81983678608"</f>
        <v>81983678608</v>
      </c>
      <c r="C53" t="str">
        <f>"EVERYDAY COUNTER-DAUGHTER (ADULT) BIRTHDAY-66671"</f>
        <v>EVERYDAY COUNTER-DAUGHTER (ADULT) BIRTHDAY-66671</v>
      </c>
      <c r="D53" s="3" t="str">
        <f>"66671"</f>
        <v>66671</v>
      </c>
      <c r="E53" s="3" t="str">
        <f>"ED16A050"</f>
        <v>ED16A050</v>
      </c>
    </row>
    <row r="54" spans="1:5" x14ac:dyDescent="0.25">
      <c r="A54" s="3" t="str">
        <f>"298695"</f>
        <v>298695</v>
      </c>
      <c r="B54" s="3" t="str">
        <f>"81983652264"</f>
        <v>81983652264</v>
      </c>
      <c r="C54" t="str">
        <f>"EVERYDAY COUNTER-BIRTHDAY SISTER PKG/6-10272"</f>
        <v>EVERYDAY COUNTER-BIRTHDAY SISTER PKG/6-10272</v>
      </c>
      <c r="D54" s="3" t="str">
        <f>"10272"</f>
        <v>10272</v>
      </c>
      <c r="E54" s="3" t="str">
        <f>"ED16A051"</f>
        <v>ED16A051</v>
      </c>
    </row>
    <row r="55" spans="1:5" x14ac:dyDescent="0.25">
      <c r="A55" s="3" t="str">
        <f>"349508"</f>
        <v>349508</v>
      </c>
      <c r="B55" s="3" t="str">
        <f>"81983778209"</f>
        <v>81983778209</v>
      </c>
      <c r="C55" t="str">
        <f>"EVERYDAY COUNTER-RELATIVE BIRTHDAY PKG/6-U0441"</f>
        <v>EVERYDAY COUNTER-RELATIVE BIRTHDAY PKG/6-U0441</v>
      </c>
      <c r="D55" s="3" t="str">
        <f>"U0441"</f>
        <v>U0441</v>
      </c>
      <c r="E55" s="3" t="str">
        <f>"ED16A052"</f>
        <v>ED16A052</v>
      </c>
    </row>
    <row r="56" spans="1:5" x14ac:dyDescent="0.25">
      <c r="A56" s="3" t="str">
        <f>"308320"</f>
        <v>308320</v>
      </c>
      <c r="B56" s="3" t="str">
        <f>"81983685644"</f>
        <v>81983685644</v>
      </c>
      <c r="C56" t="str">
        <f>"EVERYDAY COUNTER-BIRTHDAY SPOUSE PKG/6-J0350"</f>
        <v>EVERYDAY COUNTER-BIRTHDAY SPOUSE PKG/6-J0350</v>
      </c>
      <c r="D56" s="3" t="str">
        <f>"J0350"</f>
        <v>J0350</v>
      </c>
      <c r="E56" s="3" t="str">
        <f>"ED16A053"</f>
        <v>ED16A053</v>
      </c>
    </row>
    <row r="57" spans="1:5" x14ac:dyDescent="0.25">
      <c r="A57" s="3" t="str">
        <f>"279726"</f>
        <v>279726</v>
      </c>
      <c r="B57" s="3" t="str">
        <f>"81983764066"</f>
        <v>81983764066</v>
      </c>
      <c r="C57" t="str">
        <f>"EVERYDAY COUNTER-RELATIVE BD BROTHER PKG/6-J9017"</f>
        <v>EVERYDAY COUNTER-RELATIVE BD BROTHER PKG/6-J9017</v>
      </c>
      <c r="D57" s="3" t="s">
        <v>8</v>
      </c>
      <c r="E57" s="3" t="str">
        <f>"ED16A054"</f>
        <v>ED16A054</v>
      </c>
    </row>
    <row r="58" spans="1:5" x14ac:dyDescent="0.25">
      <c r="A58" s="3" t="str">
        <f>"298720"</f>
        <v>298720</v>
      </c>
      <c r="B58" s="3" t="str">
        <f>"81983774041"</f>
        <v>81983774041</v>
      </c>
      <c r="C58" t="str">
        <f>"EVERYDAY COUNTER-RELATIVE BDAY-SON-11506"</f>
        <v>EVERYDAY COUNTER-RELATIVE BDAY-SON-11506</v>
      </c>
      <c r="D58" s="3" t="s">
        <v>9</v>
      </c>
      <c r="E58" s="3" t="str">
        <f>"ED16A055"</f>
        <v>ED16A055</v>
      </c>
    </row>
    <row r="59" spans="1:5" x14ac:dyDescent="0.25">
      <c r="A59" s="3" t="str">
        <f>"279689"</f>
        <v>279689</v>
      </c>
      <c r="B59" s="3" t="str">
        <f>"81983763809"</f>
        <v>81983763809</v>
      </c>
      <c r="C59" t="str">
        <f>"EVERYDAY COUNTER-BIRTHDAY GENERAL FOR ANYONE PKG/6-J8991"</f>
        <v>EVERYDAY COUNTER-BIRTHDAY GENERAL FOR ANYONE PKG/6-J8991</v>
      </c>
      <c r="D59" s="3" t="s">
        <v>10</v>
      </c>
      <c r="E59" s="3" t="str">
        <f>"ED16A056"</f>
        <v>ED16A056</v>
      </c>
    </row>
    <row r="60" spans="1:5" x14ac:dyDescent="0.25">
      <c r="A60" s="3" t="str">
        <f>"279508"</f>
        <v>279508</v>
      </c>
      <c r="B60" s="3" t="str">
        <f>"81983773815"</f>
        <v>81983773815</v>
      </c>
      <c r="C60" t="str">
        <f>"EVERYDAY COUNTER-REL BD MOM PKG/6-J5534"</f>
        <v>EVERYDAY COUNTER-REL BD MOM PKG/6-J5534</v>
      </c>
      <c r="D60" s="3" t="str">
        <f>"J5534"</f>
        <v>J5534</v>
      </c>
      <c r="E60" s="3" t="str">
        <f>"ED16A057"</f>
        <v>ED16A057</v>
      </c>
    </row>
    <row r="61" spans="1:5" x14ac:dyDescent="0.25">
      <c r="A61" s="3" t="str">
        <f>"279733"</f>
        <v>279733</v>
      </c>
      <c r="B61" s="3" t="str">
        <f>"81983773600"</f>
        <v>81983773600</v>
      </c>
      <c r="C61" t="str">
        <f>"EVERYDAY COUNTER-RELATIVE BD DAUGHTER TEEN PKG/6-J9023"</f>
        <v>EVERYDAY COUNTER-RELATIVE BD DAUGHTER TEEN PKG/6-J9023</v>
      </c>
      <c r="D61" s="3" t="str">
        <f>"J9023"</f>
        <v>J9023</v>
      </c>
      <c r="E61" s="3" t="str">
        <f>"ED16A058"</f>
        <v>ED16A058</v>
      </c>
    </row>
    <row r="62" spans="1:5" x14ac:dyDescent="0.25">
      <c r="A62" s="3" t="str">
        <f>"349509"</f>
        <v>349509</v>
      </c>
      <c r="B62" s="3" t="str">
        <f>"81983778216"</f>
        <v>81983778216</v>
      </c>
      <c r="C62" t="str">
        <f>"EVERYDAY COUNTER-RELATIVE BIRTHDAY PKG/6-U0442"</f>
        <v>EVERYDAY COUNTER-RELATIVE BIRTHDAY PKG/6-U0442</v>
      </c>
      <c r="D62" s="3" t="str">
        <f>"U0442"</f>
        <v>U0442</v>
      </c>
      <c r="E62" s="3" t="str">
        <f>"ED16A059"</f>
        <v>ED16A059</v>
      </c>
    </row>
    <row r="63" spans="1:5" x14ac:dyDescent="0.25">
      <c r="A63" s="3" t="str">
        <f>"279497"</f>
        <v>279497</v>
      </c>
      <c r="B63" s="3" t="str">
        <f>"81983738609"</f>
        <v>81983738609</v>
      </c>
      <c r="C63" t="str">
        <f>"EVERYDAY COUNTER-REL BIRTHDAY GRANDMA PKG/6-J5527"</f>
        <v>EVERYDAY COUNTER-REL BIRTHDAY GRANDMA PKG/6-J5527</v>
      </c>
      <c r="D63" s="3" t="str">
        <f>"J5527"</f>
        <v>J5527</v>
      </c>
      <c r="E63" s="3" t="str">
        <f>"ED16A060"</f>
        <v>ED16A060</v>
      </c>
    </row>
    <row r="64" spans="1:5" x14ac:dyDescent="0.25">
      <c r="A64" s="3" t="str">
        <f>"279496"</f>
        <v>279496</v>
      </c>
      <c r="B64" s="3" t="str">
        <f>"81983773679"</f>
        <v>81983773679</v>
      </c>
      <c r="C64" t="str">
        <f>"EVERYDAY COUNTER-REL BIRTHDAY GRANDMA PKG/6-J5526"</f>
        <v>EVERYDAY COUNTER-REL BIRTHDAY GRANDMA PKG/6-J5526</v>
      </c>
      <c r="D64" s="3" t="s">
        <v>11</v>
      </c>
      <c r="E64" s="3" t="str">
        <f>"ED16A061"</f>
        <v>ED16A061</v>
      </c>
    </row>
    <row r="65" spans="1:5" x14ac:dyDescent="0.25">
      <c r="A65" s="3" t="str">
        <f>"279727"</f>
        <v>279727</v>
      </c>
      <c r="B65" s="3" t="str">
        <f>"81983764073"</f>
        <v>81983764073</v>
      </c>
      <c r="C65" t="str">
        <f>"EVERYDAY COUNTER-RELATIVE BD BROTHER PKG/6-J9018"</f>
        <v>EVERYDAY COUNTER-RELATIVE BD BROTHER PKG/6-J9018</v>
      </c>
      <c r="D65" s="3" t="str">
        <f>"J9018"</f>
        <v>J9018</v>
      </c>
      <c r="E65" s="3" t="str">
        <f>"ED16A062"</f>
        <v>ED16A062</v>
      </c>
    </row>
    <row r="66" spans="1:5" x14ac:dyDescent="0.25">
      <c r="A66" s="3" t="str">
        <f>"279529"</f>
        <v>279529</v>
      </c>
      <c r="B66" s="3" t="str">
        <f>"81983738852"</f>
        <v>81983738852</v>
      </c>
      <c r="C66" t="str">
        <f>"EVERYDAY COUNTER-REL BD SON TEEN PKG/6-J5552"</f>
        <v>EVERYDAY COUNTER-REL BD SON TEEN PKG/6-J5552</v>
      </c>
      <c r="D66" s="3" t="str">
        <f>"J5552"</f>
        <v>J5552</v>
      </c>
      <c r="E66" s="3" t="str">
        <f>"ED16A063"</f>
        <v>ED16A063</v>
      </c>
    </row>
    <row r="67" spans="1:5" x14ac:dyDescent="0.25">
      <c r="A67" s="3" t="str">
        <f>"349485"</f>
        <v>349485</v>
      </c>
      <c r="B67" s="3" t="str">
        <f>"81983777868"</f>
        <v>81983777868</v>
      </c>
      <c r="C67" t="str">
        <f>"EVERYDAY COUNTER-BIRTHDAY PKG/6-U0407"</f>
        <v>EVERYDAY COUNTER-BIRTHDAY PKG/6-U0407</v>
      </c>
      <c r="D67" s="3" t="str">
        <f>"U0407"</f>
        <v>U0407</v>
      </c>
      <c r="E67" s="3" t="str">
        <f>"ED16A064"</f>
        <v>ED16A064</v>
      </c>
    </row>
    <row r="68" spans="1:5" x14ac:dyDescent="0.25">
      <c r="A68" s="3" t="str">
        <f>"380075"</f>
        <v>380075</v>
      </c>
      <c r="B68" s="3" t="str">
        <f>"81983603631"</f>
        <v>81983603631</v>
      </c>
      <c r="C68" t="str">
        <f>"EVERYDAY COUNTER-BIRTHDAY MOM PKG/6-27204"</f>
        <v>EVERYDAY COUNTER-BIRTHDAY MOM PKG/6-27204</v>
      </c>
      <c r="D68" s="3" t="str">
        <f>"27204"</f>
        <v>27204</v>
      </c>
      <c r="E68" s="3" t="str">
        <f>"ED16A065"</f>
        <v>ED16A065</v>
      </c>
    </row>
    <row r="69" spans="1:5" x14ac:dyDescent="0.25">
      <c r="A69" s="3" t="str">
        <f>"308299"</f>
        <v>308299</v>
      </c>
      <c r="B69" s="3" t="str">
        <f>"81983685415"</f>
        <v>81983685415</v>
      </c>
      <c r="C69" t="str">
        <f>"EVERYDAY COUNTER-BIRTHDAY DAUGHTER TEEN PKG/6-J0327"</f>
        <v>EVERYDAY COUNTER-BIRTHDAY DAUGHTER TEEN PKG/6-J0327</v>
      </c>
      <c r="D69" s="3" t="str">
        <f>"J0327"</f>
        <v>J0327</v>
      </c>
      <c r="E69" s="3" t="str">
        <f>"ED16A066"</f>
        <v>ED16A066</v>
      </c>
    </row>
    <row r="70" spans="1:5" x14ac:dyDescent="0.25">
      <c r="A70" s="3" t="str">
        <f>"308323"</f>
        <v>308323</v>
      </c>
      <c r="B70" s="3" t="str">
        <f>"81983774003"</f>
        <v>81983774003</v>
      </c>
      <c r="C70" t="str">
        <f>"EVERYDAY COUNTER-BIRTHDAY SISTER PKG/6-J0353"</f>
        <v>EVERYDAY COUNTER-BIRTHDAY SISTER PKG/6-J0353</v>
      </c>
      <c r="D70" s="3" t="str">
        <f>"J0353"</f>
        <v>J0353</v>
      </c>
      <c r="E70" s="3" t="str">
        <f>"ED16A067"</f>
        <v>ED16A067</v>
      </c>
    </row>
    <row r="71" spans="1:5" x14ac:dyDescent="0.25">
      <c r="A71" s="3" t="str">
        <f>"279737"</f>
        <v>279737</v>
      </c>
      <c r="B71" s="3" t="str">
        <f>"81983764165"</f>
        <v>81983764165</v>
      </c>
      <c r="C71" t="str">
        <f>"EVERYDAY COUNTER-RELATIVE BD GRANDDAUGHTER PKG/6-J9027"</f>
        <v>EVERYDAY COUNTER-RELATIVE BD GRANDDAUGHTER PKG/6-J9027</v>
      </c>
      <c r="D71" s="3" t="str">
        <f>"J9027"</f>
        <v>J9027</v>
      </c>
      <c r="E71" s="3" t="str">
        <f>"ED16A068"</f>
        <v>ED16A068</v>
      </c>
    </row>
    <row r="72" spans="1:5" x14ac:dyDescent="0.25">
      <c r="A72" s="3" t="str">
        <f>"307931"</f>
        <v>307931</v>
      </c>
      <c r="B72" s="3" t="str">
        <f>"81983612992"</f>
        <v>81983612992</v>
      </c>
      <c r="C72" t="str">
        <f>"EVERYDAY COUNTER-RELATIVE BDAY-GRANDDAUGHTER-44470"</f>
        <v>EVERYDAY COUNTER-RELATIVE BDAY-GRANDDAUGHTER-44470</v>
      </c>
      <c r="D72" s="3" t="str">
        <f>"44470"</f>
        <v>44470</v>
      </c>
      <c r="E72" s="3" t="str">
        <f>"ED16A069"</f>
        <v>ED16A069</v>
      </c>
    </row>
    <row r="73" spans="1:5" x14ac:dyDescent="0.25">
      <c r="A73" s="3" t="str">
        <f>"349450"</f>
        <v>349450</v>
      </c>
      <c r="B73" s="3" t="str">
        <f>"81983777998"</f>
        <v>81983777998</v>
      </c>
      <c r="C73" t="str">
        <f>"EVERYDAY COUNTER-RELATIVE BIRTHDAY PKG/6-U0420"</f>
        <v>EVERYDAY COUNTER-RELATIVE BIRTHDAY PKG/6-U0420</v>
      </c>
      <c r="D73" s="3" t="str">
        <f>"U0420"</f>
        <v>U0420</v>
      </c>
      <c r="E73" s="3" t="str">
        <f>"ED16A070"</f>
        <v>ED16A070</v>
      </c>
    </row>
    <row r="74" spans="1:5" x14ac:dyDescent="0.25">
      <c r="A74" s="3" t="str">
        <f>"349518"</f>
        <v>349518</v>
      </c>
      <c r="B74" s="3" t="str">
        <f>"81983778292"</f>
        <v>81983778292</v>
      </c>
      <c r="C74" t="str">
        <f>"EVERYDAY COUNTER-RELATIVE BIRTHDAY PKG/6-U0450"</f>
        <v>EVERYDAY COUNTER-RELATIVE BIRTHDAY PKG/6-U0450</v>
      </c>
      <c r="D74" s="3" t="str">
        <f>"U0450"</f>
        <v>U0450</v>
      </c>
      <c r="E74" s="3" t="str">
        <f>"ED16A071"</f>
        <v>ED16A071</v>
      </c>
    </row>
    <row r="75" spans="1:5" x14ac:dyDescent="0.25">
      <c r="A75" s="3" t="str">
        <f>"349486"</f>
        <v>349486</v>
      </c>
      <c r="B75" s="3" t="str">
        <f>"81983777851"</f>
        <v>81983777851</v>
      </c>
      <c r="C75" t="str">
        <f>"EVERYDAY COUNTER-BIRTHDAY PKG/6-U0406"</f>
        <v>EVERYDAY COUNTER-BIRTHDAY PKG/6-U0406</v>
      </c>
      <c r="D75" s="3" t="str">
        <f>"U0406"</f>
        <v>U0406</v>
      </c>
      <c r="E75" s="3" t="str">
        <f>"ED16A072"</f>
        <v>ED16A072</v>
      </c>
    </row>
    <row r="76" spans="1:5" x14ac:dyDescent="0.25">
      <c r="A76" s="3" t="str">
        <f>"308272"</f>
        <v>308272</v>
      </c>
      <c r="B76" s="3" t="str">
        <f>"81983682483"</f>
        <v>81983682483</v>
      </c>
      <c r="C76" t="str">
        <f>"EVERYDAY COUNTER-RELATIVE BDAY-MOTHER PKG/6-J0022"</f>
        <v>EVERYDAY COUNTER-RELATIVE BDAY-MOTHER PKG/6-J0022</v>
      </c>
      <c r="D76" s="3" t="str">
        <f>"J0022"</f>
        <v>J0022</v>
      </c>
      <c r="E76" s="3" t="str">
        <f>"ED16A073"</f>
        <v>ED16A073</v>
      </c>
    </row>
    <row r="77" spans="1:5" x14ac:dyDescent="0.25">
      <c r="A77" s="3" t="str">
        <f>"307930"</f>
        <v>307930</v>
      </c>
      <c r="B77" s="3" t="str">
        <f>"81983612954"</f>
        <v>81983612954</v>
      </c>
      <c r="C77" t="str">
        <f>"EVERYDAY COUNTER-DAUGHTER BIRTHDAY pkg/4-44464"</f>
        <v>EVERYDAY COUNTER-DAUGHTER BIRTHDAY pkg/4-44464</v>
      </c>
      <c r="D77" s="3" t="str">
        <f>"44464"</f>
        <v>44464</v>
      </c>
      <c r="E77" s="3" t="str">
        <f>"ED16A074"</f>
        <v>ED16A074</v>
      </c>
    </row>
    <row r="78" spans="1:5" x14ac:dyDescent="0.25">
      <c r="A78" s="3" t="str">
        <f>"298694"</f>
        <v>298694</v>
      </c>
      <c r="B78" s="3" t="str">
        <f>"81983652257"</f>
        <v>81983652257</v>
      </c>
      <c r="C78" t="str">
        <f>"EVERYDAY COUNTER-BIRTHDAY SISTER PKG/6-10271"</f>
        <v>EVERYDAY COUNTER-BIRTHDAY SISTER PKG/6-10271</v>
      </c>
      <c r="D78" s="3" t="str">
        <f>"10271"</f>
        <v>10271</v>
      </c>
      <c r="E78" s="3" t="str">
        <f>"ED16A075"</f>
        <v>ED16A075</v>
      </c>
    </row>
    <row r="79" spans="1:5" x14ac:dyDescent="0.25">
      <c r="A79" s="3" t="str">
        <f>"298785"</f>
        <v>298785</v>
      </c>
      <c r="B79" s="3" t="str">
        <f>"81983550416"</f>
        <v>81983550416</v>
      </c>
      <c r="C79" t="str">
        <f>"EVERYDAY COUNTER-GRANDDAUGHTER BIRTHDAY-27079"</f>
        <v>EVERYDAY COUNTER-GRANDDAUGHTER BIRTHDAY-27079</v>
      </c>
      <c r="D79" s="3" t="str">
        <f>"27079"</f>
        <v>27079</v>
      </c>
      <c r="E79" s="3" t="str">
        <f>"ED16A076"</f>
        <v>ED16A076</v>
      </c>
    </row>
    <row r="80" spans="1:5" x14ac:dyDescent="0.25">
      <c r="A80" s="3" t="str">
        <f>"279739"</f>
        <v>279739</v>
      </c>
      <c r="B80" s="3" t="str">
        <f>"81983764189"</f>
        <v>81983764189</v>
      </c>
      <c r="C80" t="str">
        <f>"EVERYDAY COUNTER-RELATIVE BD GRANDDAUGHTER PKG/6-J9029"</f>
        <v>EVERYDAY COUNTER-RELATIVE BD GRANDDAUGHTER PKG/6-J9029</v>
      </c>
      <c r="D80" s="3" t="str">
        <f>"J9029"</f>
        <v>J9029</v>
      </c>
      <c r="E80" s="3" t="str">
        <f>"ED16A077"</f>
        <v>ED16A077</v>
      </c>
    </row>
    <row r="81" spans="1:5" x14ac:dyDescent="0.25">
      <c r="A81" s="3" t="str">
        <f>"349452"</f>
        <v>349452</v>
      </c>
      <c r="B81" s="3" t="str">
        <f>"81983777981"</f>
        <v>81983777981</v>
      </c>
      <c r="C81" t="str">
        <f>"EVERYDAY COUNTER-RELATIVE BIRTHDAY PKG/6-U0419"</f>
        <v>EVERYDAY COUNTER-RELATIVE BIRTHDAY PKG/6-U0419</v>
      </c>
      <c r="D81" s="3" t="str">
        <f>"U0419"</f>
        <v>U0419</v>
      </c>
      <c r="E81" s="3" t="str">
        <f>"ED16A078"</f>
        <v>ED16A078</v>
      </c>
    </row>
    <row r="82" spans="1:5" x14ac:dyDescent="0.25">
      <c r="A82" s="3" t="str">
        <f>"279766"</f>
        <v>279766</v>
      </c>
      <c r="B82" s="3" t="str">
        <f>"81983764394"</f>
        <v>81983764394</v>
      </c>
      <c r="C82" t="str">
        <f>"EVERYDAY COUNTER-RELATIVE BD SON-IN-LAW PKG/6-J9050"</f>
        <v>EVERYDAY COUNTER-RELATIVE BD SON-IN-LAW PKG/6-J9050</v>
      </c>
      <c r="D82" s="3" t="str">
        <f>"J9050"</f>
        <v>J9050</v>
      </c>
      <c r="E82" s="3" t="str">
        <f>"ED16A079"</f>
        <v>ED16A079</v>
      </c>
    </row>
    <row r="83" spans="1:5" x14ac:dyDescent="0.25">
      <c r="A83" s="3" t="str">
        <f>"308396"</f>
        <v>308396</v>
      </c>
      <c r="B83" s="3" t="str">
        <f>"81983715020"</f>
        <v>81983715020</v>
      </c>
      <c r="C83" t="str">
        <f>"EVERYDAY COUNTER-BD -MASCULINE PKG/6-J2728"</f>
        <v>EVERYDAY COUNTER-BD -MASCULINE PKG/6-J2728</v>
      </c>
      <c r="D83" s="3" t="s">
        <v>12</v>
      </c>
      <c r="E83" s="3" t="str">
        <f>"ED16A080"</f>
        <v>ED16A080</v>
      </c>
    </row>
    <row r="84" spans="1:5" x14ac:dyDescent="0.25">
      <c r="A84" s="3" t="str">
        <f>"308420"</f>
        <v>308420</v>
      </c>
      <c r="B84" s="3" t="str">
        <f>"81983773860"</f>
        <v>81983773860</v>
      </c>
      <c r="C84" t="str">
        <f>"EVERYDAY COUNTER-RELATIVE BD MOTHER PKG/6-J2758"</f>
        <v>EVERYDAY COUNTER-RELATIVE BD MOTHER PKG/6-J2758</v>
      </c>
      <c r="D84" s="3" t="str">
        <f>"J2758"</f>
        <v>J2758</v>
      </c>
      <c r="E84" s="3" t="str">
        <f>"ED16A081"</f>
        <v>ED16A081</v>
      </c>
    </row>
    <row r="85" spans="1:5" x14ac:dyDescent="0.25">
      <c r="A85" s="3" t="str">
        <f>"279732"</f>
        <v>279732</v>
      </c>
      <c r="B85" s="3" t="str">
        <f>"81983764110"</f>
        <v>81983764110</v>
      </c>
      <c r="C85" t="str">
        <f>"EVERYDAY COUNTER-RELATIVE BD DAUGHTER JUVENILE PKG/6-J9022"</f>
        <v>EVERYDAY COUNTER-RELATIVE BD DAUGHTER JUVENILE PKG/6-J9022</v>
      </c>
      <c r="D85" s="3" t="str">
        <f>"J9022"</f>
        <v>J9022</v>
      </c>
      <c r="E85" s="3" t="str">
        <f>"ED16A082"</f>
        <v>ED16A082</v>
      </c>
    </row>
    <row r="86" spans="1:5" x14ac:dyDescent="0.25">
      <c r="A86" s="3" t="str">
        <f>"349511"</f>
        <v>349511</v>
      </c>
      <c r="B86" s="3" t="str">
        <f>"81983778230"</f>
        <v>81983778230</v>
      </c>
      <c r="C86" t="str">
        <f>"EVERYDAY COUNTER-RELATIVE BIRTHDAY PKG/6-U0444"</f>
        <v>EVERYDAY COUNTER-RELATIVE BIRTHDAY PKG/6-U0444</v>
      </c>
      <c r="D86" s="3" t="str">
        <f>"U0444"</f>
        <v>U0444</v>
      </c>
      <c r="E86" s="3" t="str">
        <f>"ED16A083"</f>
        <v>ED16A083</v>
      </c>
    </row>
    <row r="87" spans="1:5" x14ac:dyDescent="0.25">
      <c r="A87" s="3" t="str">
        <f>"298696"</f>
        <v>298696</v>
      </c>
      <c r="B87" s="3" t="str">
        <f>"81983652288"</f>
        <v>81983652288</v>
      </c>
      <c r="C87" t="str">
        <f>"EVERYDAY COUNTER-BIRTHDAY SISTER PKG/6-10273"</f>
        <v>EVERYDAY COUNTER-BIRTHDAY SISTER PKG/6-10273</v>
      </c>
      <c r="D87" s="3" t="s">
        <v>13</v>
      </c>
      <c r="E87" s="3" t="str">
        <f>"ED16A084"</f>
        <v>ED16A084</v>
      </c>
    </row>
    <row r="88" spans="1:5" x14ac:dyDescent="0.25">
      <c r="A88" s="3" t="str">
        <f>"308098"</f>
        <v>308098</v>
      </c>
      <c r="B88" s="3" t="str">
        <f>"81983644085"</f>
        <v>81983644085</v>
      </c>
      <c r="C88" t="str">
        <f>"EVERYDAY COUNTER-BDAY GRANDDAUGHTER-76278"</f>
        <v>EVERYDAY COUNTER-BDAY GRANDDAUGHTER-76278</v>
      </c>
      <c r="D88" s="3" t="str">
        <f>"76278"</f>
        <v>76278</v>
      </c>
      <c r="E88" s="3" t="str">
        <f>"ED16A085"</f>
        <v>ED16A085</v>
      </c>
    </row>
    <row r="89" spans="1:5" x14ac:dyDescent="0.25">
      <c r="A89" s="3" t="str">
        <f>"308306"</f>
        <v>308306</v>
      </c>
      <c r="B89" s="3" t="str">
        <f>"81983773686"</f>
        <v>81983773686</v>
      </c>
      <c r="C89" t="str">
        <f>"EVERYDAY COUNTER-BIRTHDAY GRANDSON PKG/6-J0336"</f>
        <v>EVERYDAY COUNTER-BIRTHDAY GRANDSON PKG/6-J0336</v>
      </c>
      <c r="D89" s="3" t="str">
        <f>"J0336"</f>
        <v>J0336</v>
      </c>
      <c r="E89" s="3" t="str">
        <f>"ED16A086"</f>
        <v>ED16A086</v>
      </c>
    </row>
    <row r="90" spans="1:5" x14ac:dyDescent="0.25">
      <c r="A90" s="3" t="str">
        <f>"279494"</f>
        <v>279494</v>
      </c>
      <c r="B90" s="3" t="str">
        <f>"81983738579"</f>
        <v>81983738579</v>
      </c>
      <c r="C90" t="str">
        <f>"EVERYDAY COUNTER-REL BD GRANDPA PKG/6-J5524"</f>
        <v>EVERYDAY COUNTER-REL BD GRANDPA PKG/6-J5524</v>
      </c>
      <c r="D90" s="3" t="str">
        <f>"J5524"</f>
        <v>J5524</v>
      </c>
      <c r="E90" s="3" t="str">
        <f>"ED16A087"</f>
        <v>ED16A087</v>
      </c>
    </row>
    <row r="91" spans="1:5" x14ac:dyDescent="0.25">
      <c r="A91" s="3" t="str">
        <f>"308304"</f>
        <v>308304</v>
      </c>
      <c r="B91" s="3" t="str">
        <f>"81983685484"</f>
        <v>81983685484</v>
      </c>
      <c r="C91" t="str">
        <f>"EVERYDAY COUNTER-BIRTHDAY GRANDPA PKG/6-J0334"</f>
        <v>EVERYDAY COUNTER-BIRTHDAY GRANDPA PKG/6-J0334</v>
      </c>
      <c r="D91" s="3" t="str">
        <f>"J0334"</f>
        <v>J0334</v>
      </c>
      <c r="E91" s="3" t="str">
        <f>"ED16A088"</f>
        <v>ED16A088</v>
      </c>
    </row>
    <row r="92" spans="1:5" x14ac:dyDescent="0.25">
      <c r="A92" s="3" t="str">
        <f>"349504"</f>
        <v>349504</v>
      </c>
      <c r="B92" s="3" t="str">
        <f>"81983777912"</f>
        <v>81983777912</v>
      </c>
      <c r="C92" t="str">
        <f>"EVERYDAY COUNTER-BIRTHDAY PKG/6-U0412"</f>
        <v>EVERYDAY COUNTER-BIRTHDAY PKG/6-U0412</v>
      </c>
      <c r="D92" s="3" t="s">
        <v>14</v>
      </c>
      <c r="E92" s="3" t="str">
        <f>"ED16A089"</f>
        <v>ED16A089</v>
      </c>
    </row>
    <row r="93" spans="1:5" x14ac:dyDescent="0.25">
      <c r="A93" s="3" t="str">
        <f>"349492"</f>
        <v>349492</v>
      </c>
      <c r="B93" s="3" t="str">
        <f>"81983778162"</f>
        <v>81983778162</v>
      </c>
      <c r="C93" t="str">
        <f>"EVERYDAY COUNTER-RELATIVE BIRTHDAY PKG/6-U0437"</f>
        <v>EVERYDAY COUNTER-RELATIVE BIRTHDAY PKG/6-U0437</v>
      </c>
      <c r="D93" s="3" t="str">
        <f>"U0437"</f>
        <v>U0437</v>
      </c>
      <c r="E93" s="3" t="str">
        <f>"ED16A090"</f>
        <v>ED16A090</v>
      </c>
    </row>
    <row r="94" spans="1:5" x14ac:dyDescent="0.25">
      <c r="A94" s="3" t="str">
        <f>"349453"</f>
        <v>349453</v>
      </c>
      <c r="B94" s="3" t="str">
        <f>"81983778049"</f>
        <v>81983778049</v>
      </c>
      <c r="C94" t="str">
        <f>"EVERYDAY COUNTER-RELATIVE BIRTHDAY PKG/6-U0425"</f>
        <v>EVERYDAY COUNTER-RELATIVE BIRTHDAY PKG/6-U0425</v>
      </c>
      <c r="D94" s="3" t="str">
        <f>"U0425"</f>
        <v>U0425</v>
      </c>
      <c r="E94" s="3" t="str">
        <f>"ED16A091"</f>
        <v>ED16A091</v>
      </c>
    </row>
    <row r="95" spans="1:5" x14ac:dyDescent="0.25">
      <c r="A95" s="3" t="str">
        <f>"307961"</f>
        <v>307961</v>
      </c>
      <c r="B95" s="3" t="str">
        <f>"81983678530"</f>
        <v>81983678530</v>
      </c>
      <c r="C95" t="str">
        <f>"EVERYDAY COUNTER-REL BDAY-SISTER-55101"</f>
        <v>EVERYDAY COUNTER-REL BDAY-SISTER-55101</v>
      </c>
      <c r="D95" s="3" t="str">
        <f>"55101"</f>
        <v>55101</v>
      </c>
      <c r="E95" s="3" t="str">
        <f>"ED16A092"</f>
        <v>ED16A092</v>
      </c>
    </row>
    <row r="96" spans="1:5" x14ac:dyDescent="0.25">
      <c r="A96" s="3" t="str">
        <f>"349512"</f>
        <v>349512</v>
      </c>
      <c r="B96" s="3" t="str">
        <f>"81983778223"</f>
        <v>81983778223</v>
      </c>
      <c r="C96" t="str">
        <f>"EVERYDAY COUNTER-RELATIVE BIRTHDAY PKG/6-U0443"</f>
        <v>EVERYDAY COUNTER-RELATIVE BIRTHDAY PKG/6-U0443</v>
      </c>
      <c r="D96" s="3" t="str">
        <f>"U0443"</f>
        <v>U0443</v>
      </c>
      <c r="E96" s="3" t="str">
        <f>"ED16A093"</f>
        <v>ED16A093</v>
      </c>
    </row>
    <row r="97" spans="1:5" x14ac:dyDescent="0.25">
      <c r="A97" s="3" t="str">
        <f>"279738"</f>
        <v>279738</v>
      </c>
      <c r="B97" s="3" t="str">
        <f>"81983764172"</f>
        <v>81983764172</v>
      </c>
      <c r="C97" t="str">
        <f>"EVERYDAY COUNTER-RELATIVE BD GRANDDAUGHTER JUVE PKG/6-J9028"</f>
        <v>EVERYDAY COUNTER-RELATIVE BD GRANDDAUGHTER JUVE PKG/6-J9028</v>
      </c>
      <c r="D97" s="3" t="str">
        <f>"J9028"</f>
        <v>J9028</v>
      </c>
      <c r="E97" s="3" t="str">
        <f>"ED16A094"</f>
        <v>ED16A094</v>
      </c>
    </row>
    <row r="98" spans="1:5" x14ac:dyDescent="0.25">
      <c r="A98" s="3" t="str">
        <f>"279503"</f>
        <v>279503</v>
      </c>
      <c r="B98" s="3" t="str">
        <f>"81983738630"</f>
        <v>81983738630</v>
      </c>
      <c r="C98" t="str">
        <f>"EVERYDAY COUNTER-REL BD GRANDSON ADULT PKG/6-J5530"</f>
        <v>EVERYDAY COUNTER-REL BD GRANDSON ADULT PKG/6-J5530</v>
      </c>
      <c r="D98" s="3" t="s">
        <v>15</v>
      </c>
      <c r="E98" s="3" t="str">
        <f>"ED16A095"</f>
        <v>ED16A095</v>
      </c>
    </row>
    <row r="99" spans="1:5" x14ac:dyDescent="0.25">
      <c r="A99" s="3" t="str">
        <f>"349470"</f>
        <v>349470</v>
      </c>
      <c r="B99" s="3" t="str">
        <f>"81983778094"</f>
        <v>81983778094</v>
      </c>
      <c r="C99" t="str">
        <f>"EVERYDAY COUNTER-RELATIVE BIRTHDAY PKG/6-U0430"</f>
        <v>EVERYDAY COUNTER-RELATIVE BIRTHDAY PKG/6-U0430</v>
      </c>
      <c r="D99" s="3" t="str">
        <f>"U0430"</f>
        <v>U0430</v>
      </c>
      <c r="E99" s="3" t="str">
        <f>"ED16A096"</f>
        <v>ED16A096</v>
      </c>
    </row>
    <row r="100" spans="1:5" x14ac:dyDescent="0.25">
      <c r="A100" s="3" t="str">
        <f>"308314"</f>
        <v>308314</v>
      </c>
      <c r="B100" s="3" t="str">
        <f>"81983685590"</f>
        <v>81983685590</v>
      </c>
      <c r="C100" t="str">
        <f>"EVERYDAY COUNTER-BIRTHDAY NEPHEW PKG/6-J0345"</f>
        <v>EVERYDAY COUNTER-BIRTHDAY NEPHEW PKG/6-J0345</v>
      </c>
      <c r="D100" s="3" t="str">
        <f>"J0345"</f>
        <v>J0345</v>
      </c>
      <c r="E100" s="3" t="str">
        <f>"ED16A097"</f>
        <v>ED16A097</v>
      </c>
    </row>
    <row r="101" spans="1:5" x14ac:dyDescent="0.25">
      <c r="A101" s="3" t="str">
        <f>"308291"</f>
        <v>308291</v>
      </c>
      <c r="B101" s="3" t="str">
        <f>"81983773204"</f>
        <v>81983773204</v>
      </c>
      <c r="C101" t="str">
        <f>"EVERYDAY COUNTER-BIRTHDAY MASCULINE SMALL PKG/6-J0318"</f>
        <v>EVERYDAY COUNTER-BIRTHDAY MASCULINE SMALL PKG/6-J0318</v>
      </c>
      <c r="D101" s="3" t="str">
        <f>"J0318"</f>
        <v>J0318</v>
      </c>
      <c r="E101" s="3" t="str">
        <f>"ED16A098"</f>
        <v>ED16A098</v>
      </c>
    </row>
    <row r="102" spans="1:5" x14ac:dyDescent="0.25">
      <c r="A102" s="3" t="str">
        <f>"349489"</f>
        <v>349489</v>
      </c>
      <c r="B102" s="3" t="str">
        <f>"81983778155"</f>
        <v>81983778155</v>
      </c>
      <c r="C102" t="str">
        <f>"EVERYDAY COUNTER-RELATIVE BIRTHDAY PKG/6-U0436"</f>
        <v>EVERYDAY COUNTER-RELATIVE BIRTHDAY PKG/6-U0436</v>
      </c>
      <c r="D102" s="3" t="str">
        <f>"U0436"</f>
        <v>U0436</v>
      </c>
      <c r="E102" s="3" t="str">
        <f>"ED16A099"</f>
        <v>ED16A099</v>
      </c>
    </row>
    <row r="103" spans="1:5" x14ac:dyDescent="0.25">
      <c r="A103" s="3" t="str">
        <f>"349458"</f>
        <v>349458</v>
      </c>
      <c r="B103" s="3" t="str">
        <f>"81983778056"</f>
        <v>81983778056</v>
      </c>
      <c r="C103" t="str">
        <f>"EVERYDAY COUNTER-RELATIVE BIRTHDAY PKG/6-U0426"</f>
        <v>EVERYDAY COUNTER-RELATIVE BIRTHDAY PKG/6-U0426</v>
      </c>
      <c r="D103" s="3" t="str">
        <f>"U0426"</f>
        <v>U0426</v>
      </c>
      <c r="E103" s="3" t="str">
        <f>"ED16A100"</f>
        <v>ED16A100</v>
      </c>
    </row>
    <row r="104" spans="1:5" x14ac:dyDescent="0.25">
      <c r="A104" s="3" t="str">
        <f>"308141"</f>
        <v>308141</v>
      </c>
      <c r="B104" s="3" t="str">
        <f>"81983678660"</f>
        <v>81983678660</v>
      </c>
      <c r="C104" t="str">
        <f>"EVERYDAY COUNTER-RELATIVE BIRTHDAY SISTER-82365"</f>
        <v>EVERYDAY COUNTER-RELATIVE BIRTHDAY SISTER-82365</v>
      </c>
      <c r="D104" s="3" t="str">
        <f>"82365"</f>
        <v>82365</v>
      </c>
      <c r="E104" s="3" t="str">
        <f>"ED16A101"</f>
        <v>ED16A101</v>
      </c>
    </row>
    <row r="105" spans="1:5" x14ac:dyDescent="0.25">
      <c r="A105" s="3" t="str">
        <f>"349510"</f>
        <v>349510</v>
      </c>
      <c r="B105" s="3" t="str">
        <f>"81983778247"</f>
        <v>81983778247</v>
      </c>
      <c r="C105" t="str">
        <f>"EVERYDAY COUNTER-RELATIVE BIRTHDAY PKG/6-U0445"</f>
        <v>EVERYDAY COUNTER-RELATIVE BIRTHDAY PKG/6-U0445</v>
      </c>
      <c r="D105" s="3" t="str">
        <f>"U0445"</f>
        <v>U0445</v>
      </c>
      <c r="E105" s="3" t="str">
        <f>"ED16A102"</f>
        <v>ED16A102</v>
      </c>
    </row>
    <row r="106" spans="1:5" x14ac:dyDescent="0.25">
      <c r="A106" s="3" t="str">
        <f>"308303"</f>
        <v>308303</v>
      </c>
      <c r="B106" s="3" t="str">
        <f>"81983773648"</f>
        <v>81983773648</v>
      </c>
      <c r="C106" t="str">
        <f>"EVERYDAY COUNTER-BIRTHDAY GRANDDAUGHTER PKG/6-J0333"</f>
        <v>EVERYDAY COUNTER-BIRTHDAY GRANDDAUGHTER PKG/6-J0333</v>
      </c>
      <c r="D106" s="3" t="str">
        <f>"J0333"</f>
        <v>J0333</v>
      </c>
      <c r="E106" s="3" t="str">
        <f>"ED16A103"</f>
        <v>ED16A103</v>
      </c>
    </row>
    <row r="107" spans="1:5" x14ac:dyDescent="0.25">
      <c r="A107" s="3" t="str">
        <f>"308413"</f>
        <v>308413</v>
      </c>
      <c r="B107" s="3" t="str">
        <f>"81983715228"</f>
        <v>81983715228</v>
      </c>
      <c r="C107" t="str">
        <f>"EVERYDAY COUNTER-RELATIVE BD GRANDSON -A PKG/6-J2748"</f>
        <v>EVERYDAY COUNTER-RELATIVE BD GRANDSON -A PKG/6-J2748</v>
      </c>
      <c r="D107" s="3" t="str">
        <f>"J2748"</f>
        <v>J2748</v>
      </c>
      <c r="E107" s="3" t="str">
        <f>"ED16A104"</f>
        <v>ED16A104</v>
      </c>
    </row>
    <row r="108" spans="1:5" x14ac:dyDescent="0.25">
      <c r="A108" s="3" t="str">
        <f>"349471"</f>
        <v>349471</v>
      </c>
      <c r="B108" s="3" t="str">
        <f>"81983778087"</f>
        <v>81983778087</v>
      </c>
      <c r="C108" t="str">
        <f>"EVERYDAY COUNTER-RELATIVE BIRTHDAY PKG/6-U0429"</f>
        <v>EVERYDAY COUNTER-RELATIVE BIRTHDAY PKG/6-U0429</v>
      </c>
      <c r="D108" s="3" t="str">
        <f>"U0429"</f>
        <v>U0429</v>
      </c>
      <c r="E108" s="3" t="str">
        <f>"ED16A105"</f>
        <v>ED16A105</v>
      </c>
    </row>
    <row r="109" spans="1:5" x14ac:dyDescent="0.25">
      <c r="A109" s="3" t="str">
        <f>"279751"</f>
        <v>279751</v>
      </c>
      <c r="B109" s="3" t="str">
        <f>"81983764288"</f>
        <v>81983764288</v>
      </c>
      <c r="C109" t="str">
        <f>"EVERYDAY COUNTER-RELATIVE BD NEPHEW PKG/6-J9039"</f>
        <v>EVERYDAY COUNTER-RELATIVE BD NEPHEW PKG/6-J9039</v>
      </c>
      <c r="D109" s="3" t="str">
        <f>"J9039"</f>
        <v>J9039</v>
      </c>
      <c r="E109" s="3" t="str">
        <f>"ED16A106"</f>
        <v>ED16A106</v>
      </c>
    </row>
    <row r="110" spans="1:5" x14ac:dyDescent="0.25">
      <c r="A110" s="3" t="str">
        <f>"349513"</f>
        <v>349513</v>
      </c>
      <c r="B110" s="3" t="str">
        <f>"81983777929"</f>
        <v>81983777929</v>
      </c>
      <c r="C110" t="str">
        <f>"EVERYDAY COUNTER-BIRTHDAY PKG/6-U0413"</f>
        <v>EVERYDAY COUNTER-BIRTHDAY PKG/6-U0413</v>
      </c>
      <c r="D110" s="3" t="str">
        <f>"U0413"</f>
        <v>U0413</v>
      </c>
      <c r="E110" s="3" t="str">
        <f>"ED16A107"</f>
        <v>ED16A107</v>
      </c>
    </row>
    <row r="111" spans="1:5" x14ac:dyDescent="0.25">
      <c r="A111" s="3" t="str">
        <f>"349449"</f>
        <v>349449</v>
      </c>
      <c r="B111" s="3" t="str">
        <f>"81983777974"</f>
        <v>81983777974</v>
      </c>
      <c r="C111" t="str">
        <f>"EVERYDAY COUNTER-RELATIVE BIRTHDAY PKG/6-U0418"</f>
        <v>EVERYDAY COUNTER-RELATIVE BIRTHDAY PKG/6-U0418</v>
      </c>
      <c r="D111" s="3" t="str">
        <f>"U0418"</f>
        <v>U0418</v>
      </c>
      <c r="E111" s="3" t="str">
        <f>"ED16A108"</f>
        <v>ED16A108</v>
      </c>
    </row>
    <row r="112" spans="1:5" x14ac:dyDescent="0.25">
      <c r="A112" s="3" t="str">
        <f>"349506"</f>
        <v>349506</v>
      </c>
      <c r="B112" s="3" t="str">
        <f>"81983778179"</f>
        <v>81983778179</v>
      </c>
      <c r="C112" t="str">
        <f>"EVERYDAY COUNTER-RELATIVE BIRTHDAY PKG/6-U0438"</f>
        <v>EVERYDAY COUNTER-RELATIVE BIRTHDAY PKG/6-U0438</v>
      </c>
      <c r="D112" s="3" t="str">
        <f>"U0438"</f>
        <v>U0438</v>
      </c>
      <c r="E112" s="3" t="str">
        <f>"ED16A109"</f>
        <v>ED16A109</v>
      </c>
    </row>
    <row r="113" spans="1:5" x14ac:dyDescent="0.25">
      <c r="A113" s="3" t="str">
        <f>"279752"</f>
        <v>279752</v>
      </c>
      <c r="B113" s="3" t="str">
        <f>"81983764295"</f>
        <v>81983764295</v>
      </c>
      <c r="C113" t="str">
        <f>"EVERYDAY COUNTER-RELATIVE BD NIECE ADULT PKG/6-J9040"</f>
        <v>EVERYDAY COUNTER-RELATIVE BD NIECE ADULT PKG/6-J9040</v>
      </c>
      <c r="D113" s="3" t="str">
        <f>"J9040"</f>
        <v>J9040</v>
      </c>
      <c r="E113" s="3" t="str">
        <f>"ED16A110"</f>
        <v>ED16A110</v>
      </c>
    </row>
    <row r="114" spans="1:5" x14ac:dyDescent="0.25">
      <c r="A114" s="3" t="str">
        <f>"279520"</f>
        <v>279520</v>
      </c>
      <c r="B114" s="3" t="str">
        <f>"81983738777"</f>
        <v>81983738777</v>
      </c>
      <c r="C114" t="str">
        <f>"EVERYDAY COUNTER-REL BD NIECE TEEN PKG/6-J5544"</f>
        <v>EVERYDAY COUNTER-REL BD NIECE TEEN PKG/6-J5544</v>
      </c>
      <c r="D114" s="3" t="str">
        <f>"J5544"</f>
        <v>J5544</v>
      </c>
      <c r="E114" s="3" t="str">
        <f>"ED16A111"</f>
        <v>ED16A111</v>
      </c>
    </row>
    <row r="115" spans="1:5" x14ac:dyDescent="0.25">
      <c r="A115" s="3" t="str">
        <f>"308031"</f>
        <v>308031</v>
      </c>
      <c r="B115" s="3" t="str">
        <f>"81983589317"</f>
        <v>81983589317</v>
      </c>
      <c r="C115" t="str">
        <f>"EVERYDAY COUNTER-GREAT GRANDDAUGHTER (JUV) BIRTHDAY-66684"</f>
        <v>EVERYDAY COUNTER-GREAT GRANDDAUGHTER (JUV) BIRTHDAY-66684</v>
      </c>
      <c r="D115" s="3" t="str">
        <f>"66684"</f>
        <v>66684</v>
      </c>
      <c r="E115" s="3" t="str">
        <f>"ED16A112"</f>
        <v>ED16A112</v>
      </c>
    </row>
    <row r="116" spans="1:5" x14ac:dyDescent="0.25">
      <c r="A116" s="3" t="str">
        <f>"308032"</f>
        <v>308032</v>
      </c>
      <c r="B116" s="3" t="str">
        <f>"81983773761"</f>
        <v>81983773761</v>
      </c>
      <c r="C116" t="str">
        <f>"EVERYDAY COUNTER-GREAT GRANDSON (JUV) BIRTHDAY-66685"</f>
        <v>EVERYDAY COUNTER-GREAT GRANDSON (JUV) BIRTHDAY-66685</v>
      </c>
      <c r="D116" s="3" t="str">
        <f>"66685"</f>
        <v>66685</v>
      </c>
      <c r="E116" s="3" t="str">
        <f>"ED16A113"</f>
        <v>ED16A113</v>
      </c>
    </row>
    <row r="117" spans="1:5" x14ac:dyDescent="0.25">
      <c r="A117" s="3" t="str">
        <f>"307962"</f>
        <v>307962</v>
      </c>
      <c r="B117" s="3" t="str">
        <f>"81983678547"</f>
        <v>81983678547</v>
      </c>
      <c r="C117" t="str">
        <f>"EVERYDAY COUNTER-GRANDSON BIRTHDAY-55102"</f>
        <v>EVERYDAY COUNTER-GRANDSON BIRTHDAY-55102</v>
      </c>
      <c r="D117" s="3" t="str">
        <f>"55102"</f>
        <v>55102</v>
      </c>
      <c r="E117" s="3" t="str">
        <f>"ED16A114"</f>
        <v>ED16A114</v>
      </c>
    </row>
    <row r="118" spans="1:5" x14ac:dyDescent="0.25">
      <c r="A118" s="3" t="str">
        <f>"279518"</f>
        <v>279518</v>
      </c>
      <c r="B118" s="3" t="str">
        <f>"81983738753"</f>
        <v>81983738753</v>
      </c>
      <c r="C118" t="str">
        <f>"EVERYDAY COUNTER-REL BD NEPHEW JUV PKG/6-J5542"</f>
        <v>EVERYDAY COUNTER-REL BD NEPHEW JUV PKG/6-J5542</v>
      </c>
      <c r="D118" s="3" t="str">
        <f>"J5542"</f>
        <v>J5542</v>
      </c>
      <c r="E118" s="3" t="str">
        <f>"ED16A115"</f>
        <v>ED16A115</v>
      </c>
    </row>
    <row r="119" spans="1:5" x14ac:dyDescent="0.25">
      <c r="A119" s="3" t="str">
        <f>"279531"</f>
        <v>279531</v>
      </c>
      <c r="B119" s="3" t="str">
        <f>"81983738876"</f>
        <v>81983738876</v>
      </c>
      <c r="C119" t="str">
        <f>"EVERYDAY COUNTER-REL BD UNCLE PKG/6-J5554"</f>
        <v>EVERYDAY COUNTER-REL BD UNCLE PKG/6-J5554</v>
      </c>
      <c r="D119" s="3" t="str">
        <f>"J5554"</f>
        <v>J5554</v>
      </c>
      <c r="E119" s="3" t="str">
        <f>"ED16A116"</f>
        <v>ED16A116</v>
      </c>
    </row>
    <row r="120" spans="1:5" x14ac:dyDescent="0.25">
      <c r="A120" s="3" t="str">
        <f>"349462"</f>
        <v>349462</v>
      </c>
      <c r="B120" s="3" t="str">
        <f>"81983777714"</f>
        <v>81983777714</v>
      </c>
      <c r="C120" t="str">
        <f>"EVERYDAY COUNTER-BIRTHDAY PKG/6-U0392"</f>
        <v>EVERYDAY COUNTER-BIRTHDAY PKG/6-U0392</v>
      </c>
      <c r="D120" s="3" t="str">
        <f>"U0392"</f>
        <v>U0392</v>
      </c>
      <c r="E120" s="3" t="str">
        <f>"ED16B001"</f>
        <v>ED16B001</v>
      </c>
    </row>
    <row r="121" spans="1:5" x14ac:dyDescent="0.25">
      <c r="A121" s="3" t="str">
        <f>"349464"</f>
        <v>349464</v>
      </c>
      <c r="B121" s="3" t="str">
        <f>"81983777585"</f>
        <v>81983777585</v>
      </c>
      <c r="C121" t="str">
        <f>"EVERYDAY COUNTER-BIRTHDAY PKG/6-U0379"</f>
        <v>EVERYDAY COUNTER-BIRTHDAY PKG/6-U0379</v>
      </c>
      <c r="D121" s="3" t="str">
        <f>"U0379"</f>
        <v>U0379</v>
      </c>
      <c r="E121" s="3" t="str">
        <f>"ED16B002"</f>
        <v>ED16B002</v>
      </c>
    </row>
    <row r="122" spans="1:5" x14ac:dyDescent="0.25">
      <c r="A122" s="3" t="str">
        <f>"279457"</f>
        <v>279457</v>
      </c>
      <c r="B122" s="3" t="str">
        <f>"81983772979"</f>
        <v>81983772979</v>
      </c>
      <c r="C122" t="str">
        <f>"EVERYDAY COUNTER-BIRTHDAY 3RD GIRL PKG/6-J5496"</f>
        <v>EVERYDAY COUNTER-BIRTHDAY 3RD GIRL PKG/6-J5496</v>
      </c>
      <c r="D122" s="3" t="s">
        <v>16</v>
      </c>
      <c r="E122" s="3" t="str">
        <f>"ED16B003"</f>
        <v>ED16B003</v>
      </c>
    </row>
    <row r="123" spans="1:5" x14ac:dyDescent="0.25">
      <c r="A123" s="3" t="str">
        <f>"349541"</f>
        <v>349541</v>
      </c>
      <c r="B123" s="3" t="str">
        <f>"81983778391"</f>
        <v>81983778391</v>
      </c>
      <c r="C123" t="str">
        <f>"EVERYDAY COUNTER-BIRTHDAY PKG/2-U0470"</f>
        <v>EVERYDAY COUNTER-BIRTHDAY PKG/2-U0470</v>
      </c>
      <c r="D123" s="3" t="s">
        <v>41</v>
      </c>
      <c r="E123" s="3" t="str">
        <f>"ED16B004"</f>
        <v>ED16B004</v>
      </c>
    </row>
    <row r="124" spans="1:5" x14ac:dyDescent="0.25">
      <c r="A124" s="3" t="str">
        <f>"349542"</f>
        <v>349542</v>
      </c>
      <c r="B124" s="3" t="str">
        <f>"81983778407"</f>
        <v>81983778407</v>
      </c>
      <c r="C124" t="str">
        <f>"EVERYDAY COUNTER-BIRTHDAY PKG/2-U0471"</f>
        <v>EVERYDAY COUNTER-BIRTHDAY PKG/2-U0471</v>
      </c>
      <c r="D124" s="3" t="s">
        <v>42</v>
      </c>
      <c r="E124" s="3" t="str">
        <f>"ED16B005"</f>
        <v>ED16B005</v>
      </c>
    </row>
    <row r="125" spans="1:5" x14ac:dyDescent="0.25">
      <c r="A125" s="3" t="str">
        <f>"308481"</f>
        <v>308481</v>
      </c>
      <c r="B125" s="3" t="str">
        <f>"81983774881"</f>
        <v>81983774881</v>
      </c>
      <c r="C125" t="str">
        <f>"EVERYDAY COUNTER-WEDDING/WEDDING CAKE-WITH JOY PKG/6-J3472"</f>
        <v>EVERYDAY COUNTER-WEDDING/WEDDING CAKE-WITH JOY PKG/6-J3472</v>
      </c>
      <c r="D125" s="3" t="str">
        <f>"J3472"</f>
        <v>J3472</v>
      </c>
      <c r="E125" s="3" t="str">
        <f>"ED16B006"</f>
        <v>ED16B006</v>
      </c>
    </row>
    <row r="126" spans="1:5" x14ac:dyDescent="0.25">
      <c r="A126" s="3" t="str">
        <f>"308120"</f>
        <v>308120</v>
      </c>
      <c r="B126" s="3" t="str">
        <f>"81983772368"</f>
        <v>81983772368</v>
      </c>
      <c r="C126" t="str">
        <f>"EVERYDAY COUNTER-WEDDING-J9948"</f>
        <v>EVERYDAY COUNTER-WEDDING-J9948</v>
      </c>
      <c r="D126" s="3" t="str">
        <f>"J9948"</f>
        <v>J9948</v>
      </c>
      <c r="E126" s="3" t="str">
        <f>"ED16B007"</f>
        <v>ED16B007</v>
      </c>
    </row>
    <row r="127" spans="1:5" x14ac:dyDescent="0.25">
      <c r="A127" s="3" t="str">
        <f>"308136"</f>
        <v>308136</v>
      </c>
      <c r="B127" s="3" t="str">
        <f>"81983771699"</f>
        <v>81983771699</v>
      </c>
      <c r="C127" t="str">
        <f>"EVERYDAY COUNTER-ANNIVERSARY-HUSBAND/MY LOVE PKG/6-J9881"</f>
        <v>EVERYDAY COUNTER-ANNIVERSARY-HUSBAND/MY LOVE PKG/6-J9881</v>
      </c>
      <c r="D127" s="3" t="str">
        <f>"J9881"</f>
        <v>J9881</v>
      </c>
      <c r="E127" s="3" t="str">
        <f>"ED16B008"</f>
        <v>ED16B008</v>
      </c>
    </row>
    <row r="128" spans="1:5" x14ac:dyDescent="0.25">
      <c r="A128" s="3" t="str">
        <f>"279683"</f>
        <v>279683</v>
      </c>
      <c r="B128" s="3" t="str">
        <f>"81983763755"</f>
        <v>81983763755</v>
      </c>
      <c r="C128" t="str">
        <f>"EVERYDAY COUNTER-BIRTHDAY CHILD 1ST GIRL PKG/6-J8986"</f>
        <v>EVERYDAY COUNTER-BIRTHDAY CHILD 1ST GIRL PKG/6-J8986</v>
      </c>
      <c r="D128" s="3" t="str">
        <f>"J8986"</f>
        <v>J8986</v>
      </c>
      <c r="E128" s="3" t="str">
        <f>"ED16B009"</f>
        <v>ED16B009</v>
      </c>
    </row>
    <row r="129" spans="1:5" x14ac:dyDescent="0.25">
      <c r="A129" s="3" t="str">
        <f>"349463"</f>
        <v>349463</v>
      </c>
      <c r="B129" s="3" t="str">
        <f>"81983777578"</f>
        <v>81983777578</v>
      </c>
      <c r="C129" t="str">
        <f>"EVERYDAY COUNTER-BIRTHDAY PKG/6-U0378"</f>
        <v>EVERYDAY COUNTER-BIRTHDAY PKG/6-U0378</v>
      </c>
      <c r="D129" s="3" t="str">
        <f>"U0378"</f>
        <v>U0378</v>
      </c>
      <c r="E129" s="3" t="str">
        <f>"ED16B010"</f>
        <v>ED16B010</v>
      </c>
    </row>
    <row r="130" spans="1:5" x14ac:dyDescent="0.25">
      <c r="A130" s="3" t="str">
        <f>"349465"</f>
        <v>349465</v>
      </c>
      <c r="B130" s="3" t="str">
        <f>"81983777721"</f>
        <v>81983777721</v>
      </c>
      <c r="C130" t="str">
        <f>"EVERYDAY COUNTER-BIRTHDAY PKG/6-U0393"</f>
        <v>EVERYDAY COUNTER-BIRTHDAY PKG/6-U0393</v>
      </c>
      <c r="D130" s="3" t="str">
        <f>"U0393"</f>
        <v>U0393</v>
      </c>
      <c r="E130" s="3" t="str">
        <f>"ED16B011"</f>
        <v>ED16B011</v>
      </c>
    </row>
    <row r="131" spans="1:5" x14ac:dyDescent="0.25">
      <c r="A131" s="3" t="str">
        <f>"349543"</f>
        <v>349543</v>
      </c>
      <c r="B131" s="3" t="str">
        <f>"81983778414"</f>
        <v>81983778414</v>
      </c>
      <c r="C131" t="str">
        <f>"EVERYDAY COUNTER-BIRTHDAY PKG/2-U0472"</f>
        <v>EVERYDAY COUNTER-BIRTHDAY PKG/2-U0472</v>
      </c>
      <c r="D131" s="3" t="s">
        <v>43</v>
      </c>
      <c r="E131" s="3" t="str">
        <f>"ED16B012"</f>
        <v>ED16B012</v>
      </c>
    </row>
    <row r="132" spans="1:5" x14ac:dyDescent="0.25">
      <c r="A132" s="3" t="str">
        <f>"349545"</f>
        <v>349545</v>
      </c>
      <c r="B132" s="3" t="str">
        <f>"81983778421"</f>
        <v>81983778421</v>
      </c>
      <c r="C132" t="str">
        <f>"EVERYDAY COUNTER-BIRTHDAY PKG/2-U0473"</f>
        <v>EVERYDAY COUNTER-BIRTHDAY PKG/2-U0473</v>
      </c>
      <c r="D132" s="3" t="s">
        <v>44</v>
      </c>
      <c r="E132" s="3" t="str">
        <f>"ED16B013"</f>
        <v>ED16B013</v>
      </c>
    </row>
    <row r="133" spans="1:5" x14ac:dyDescent="0.25">
      <c r="A133" s="3" t="str">
        <f>"279542"</f>
        <v>279542</v>
      </c>
      <c r="B133" s="3" t="str">
        <f>"81983774812"</f>
        <v>81983774812</v>
      </c>
      <c r="C133" t="str">
        <f>"EVERYDAY COUNTER-WEDDING PKG/6-J5564"</f>
        <v>EVERYDAY COUNTER-WEDDING PKG/6-J5564</v>
      </c>
      <c r="D133" s="3" t="str">
        <f>"J5564"</f>
        <v>J5564</v>
      </c>
      <c r="E133" s="3" t="str">
        <f>"ED16B014"</f>
        <v>ED16B014</v>
      </c>
    </row>
    <row r="134" spans="1:5" x14ac:dyDescent="0.25">
      <c r="A134" s="3" t="str">
        <f>"308264"</f>
        <v>308264</v>
      </c>
      <c r="B134" s="3" t="str">
        <f>"81983679575"</f>
        <v>81983679575</v>
      </c>
      <c r="C134" t="str">
        <f>"EVERYDAY COUNTER-WEDDING PKG/6-93235"</f>
        <v>EVERYDAY COUNTER-WEDDING PKG/6-93235</v>
      </c>
      <c r="D134" s="3" t="str">
        <f>"93235"</f>
        <v>93235</v>
      </c>
      <c r="E134" s="3" t="str">
        <f>"ED16B015"</f>
        <v>ED16B015</v>
      </c>
    </row>
    <row r="135" spans="1:5" x14ac:dyDescent="0.25">
      <c r="A135" s="3" t="str">
        <f>"308199"</f>
        <v>308199</v>
      </c>
      <c r="B135" s="3" t="str">
        <f>"81983677106"</f>
        <v>81983677106</v>
      </c>
      <c r="C135" t="str">
        <f>"EVERYDAY COUNTER-ANNIVERSARY HUSBAND PKG/6-91974"</f>
        <v>EVERYDAY COUNTER-ANNIVERSARY HUSBAND PKG/6-91974</v>
      </c>
      <c r="D135" s="3" t="str">
        <f>"91974"</f>
        <v>91974</v>
      </c>
      <c r="E135" s="3" t="str">
        <f>"ED16B016"</f>
        <v>ED16B016</v>
      </c>
    </row>
    <row r="136" spans="1:5" x14ac:dyDescent="0.25">
      <c r="A136" s="3" t="str">
        <f>"279685"</f>
        <v>279685</v>
      </c>
      <c r="B136" s="3" t="str">
        <f>"81983763779"</f>
        <v>81983763779</v>
      </c>
      <c r="C136" t="str">
        <f>"EVERYDAY COUNTER-BIRTHDAY CHILD 4TH BOY PKG/6-J8988"</f>
        <v>EVERYDAY COUNTER-BIRTHDAY CHILD 4TH BOY PKG/6-J8988</v>
      </c>
      <c r="D136" s="3" t="str">
        <f>"J8988"</f>
        <v>J8988</v>
      </c>
      <c r="E136" s="3" t="str">
        <f>"ED16B017"</f>
        <v>ED16B017</v>
      </c>
    </row>
    <row r="137" spans="1:5" x14ac:dyDescent="0.25">
      <c r="A137" s="3" t="str">
        <f>"279458"</f>
        <v>279458</v>
      </c>
      <c r="B137" s="3" t="str">
        <f>"81983772986"</f>
        <v>81983772986</v>
      </c>
      <c r="C137" t="str">
        <f>"EVERYDAY COUNTER-BIRTHDAY 5TH CHILD PKG/6-J5497"</f>
        <v>EVERYDAY COUNTER-BIRTHDAY 5TH CHILD PKG/6-J5497</v>
      </c>
      <c r="D137" s="3" t="str">
        <f>"J5497"</f>
        <v>J5497</v>
      </c>
      <c r="E137" s="3" t="str">
        <f>"ED16B018"</f>
        <v>ED16B018</v>
      </c>
    </row>
    <row r="138" spans="1:5" x14ac:dyDescent="0.25">
      <c r="A138" s="3" t="str">
        <f>"279460"</f>
        <v>279460</v>
      </c>
      <c r="B138" s="3" t="str">
        <f>"81983738319"</f>
        <v>81983738319</v>
      </c>
      <c r="C138" t="str">
        <f>"EVERYDAY COUNTER-BIRTHDAY CHILD PKG/6-J5498"</f>
        <v>EVERYDAY COUNTER-BIRTHDAY CHILD PKG/6-J5498</v>
      </c>
      <c r="D138" s="3" t="s">
        <v>17</v>
      </c>
      <c r="E138" s="3" t="str">
        <f>"ED16B019"</f>
        <v>ED16B019</v>
      </c>
    </row>
    <row r="139" spans="1:5" x14ac:dyDescent="0.25">
      <c r="A139" s="3" t="str">
        <f>"349525"</f>
        <v>349525</v>
      </c>
      <c r="B139" s="3" t="str">
        <f>"81983778438"</f>
        <v>81983778438</v>
      </c>
      <c r="C139" t="str">
        <f>"EVERYDAY COUNTER-BIRTHDAY PKG/6-U0474"</f>
        <v>EVERYDAY COUNTER-BIRTHDAY PKG/6-U0474</v>
      </c>
      <c r="D139" s="3" t="s">
        <v>45</v>
      </c>
      <c r="E139" s="3" t="str">
        <f>"ED16B020"</f>
        <v>ED16B020</v>
      </c>
    </row>
    <row r="140" spans="1:5" x14ac:dyDescent="0.25">
      <c r="A140" s="3" t="str">
        <f>"349526"</f>
        <v>349526</v>
      </c>
      <c r="B140" s="3" t="str">
        <f>"81983778445"</f>
        <v>81983778445</v>
      </c>
      <c r="C140" t="str">
        <f>"EVERYDAY COUNTER-BIRTHDAY PKG/6-U0475"</f>
        <v>EVERYDAY COUNTER-BIRTHDAY PKG/6-U0475</v>
      </c>
      <c r="D140" s="3" t="s">
        <v>46</v>
      </c>
      <c r="E140" s="3" t="str">
        <f>"ED16B021"</f>
        <v>ED16B021</v>
      </c>
    </row>
    <row r="141" spans="1:5" x14ac:dyDescent="0.25">
      <c r="A141" s="3" t="str">
        <f>"279538"</f>
        <v>279538</v>
      </c>
      <c r="B141" s="3" t="str">
        <f>"81983738944"</f>
        <v>81983738944</v>
      </c>
      <c r="C141" t="str">
        <f>"EVERYDAY COUNTER-WEDDING PKG/6-J5561"</f>
        <v>EVERYDAY COUNTER-WEDDING PKG/6-J5561</v>
      </c>
      <c r="D141" s="3" t="str">
        <f>"J5561"</f>
        <v>J5561</v>
      </c>
      <c r="E141" s="3" t="str">
        <f>"ED16B022"</f>
        <v>ED16B022</v>
      </c>
    </row>
    <row r="142" spans="1:5" x14ac:dyDescent="0.25">
      <c r="A142" s="3" t="str">
        <f>"308116"</f>
        <v>308116</v>
      </c>
      <c r="B142" s="3" t="str">
        <f>"81983678615"</f>
        <v>81983678615</v>
      </c>
      <c r="C142" t="str">
        <f>"EVERYDAY COUNTER-WEDDING/JOINED TOGETHER RINGS-78842"</f>
        <v>EVERYDAY COUNTER-WEDDING/JOINED TOGETHER RINGS-78842</v>
      </c>
      <c r="D142" s="3" t="str">
        <f>"78842"</f>
        <v>78842</v>
      </c>
      <c r="E142" s="3" t="str">
        <f>"ED16B023"</f>
        <v>ED16B023</v>
      </c>
    </row>
    <row r="143" spans="1:5" x14ac:dyDescent="0.25">
      <c r="A143" s="3" t="str">
        <f>"308106"</f>
        <v>308106</v>
      </c>
      <c r="B143" s="3" t="str">
        <f>"81983771705"</f>
        <v>81983771705</v>
      </c>
      <c r="C143" t="str">
        <f>"EVERYDAY COUNTER-HUSBAND ANNIVERSARY-J9882"</f>
        <v>EVERYDAY COUNTER-HUSBAND ANNIVERSARY-J9882</v>
      </c>
      <c r="D143" s="3" t="str">
        <f>"J9882"</f>
        <v>J9882</v>
      </c>
      <c r="E143" s="3" t="str">
        <f>"ED16B024"</f>
        <v>ED16B024</v>
      </c>
    </row>
    <row r="144" spans="1:5" x14ac:dyDescent="0.25">
      <c r="A144" s="3" t="str">
        <f>"279684"</f>
        <v>279684</v>
      </c>
      <c r="B144" s="3" t="str">
        <f>"81983763762"</f>
        <v>81983763762</v>
      </c>
      <c r="C144" t="str">
        <f>"EVERYDAY COUNTER-BIRTHDAY CHILD 4TH GIRL PKG/6-J8987"</f>
        <v>EVERYDAY COUNTER-BIRTHDAY CHILD 4TH GIRL PKG/6-J8987</v>
      </c>
      <c r="D144" s="3" t="str">
        <f>"J8987"</f>
        <v>J8987</v>
      </c>
      <c r="E144" s="3" t="str">
        <f>"ED16B025"</f>
        <v>ED16B025</v>
      </c>
    </row>
    <row r="145" spans="1:5" x14ac:dyDescent="0.25">
      <c r="A145" s="3" t="str">
        <f>"279686"</f>
        <v>279686</v>
      </c>
      <c r="B145" s="3" t="str">
        <f>"81983763786"</f>
        <v>81983763786</v>
      </c>
      <c r="C145" t="str">
        <f>"EVERYDAY COUNTER-BIRTHDAY CHILD 5TH GIRL PKG/6-J8989"</f>
        <v>EVERYDAY COUNTER-BIRTHDAY CHILD 5TH GIRL PKG/6-J8989</v>
      </c>
      <c r="D145" s="3" t="str">
        <f>"J8989"</f>
        <v>J8989</v>
      </c>
      <c r="E145" s="3" t="str">
        <f>"ED16B026"</f>
        <v>ED16B026</v>
      </c>
    </row>
    <row r="146" spans="1:5" x14ac:dyDescent="0.25">
      <c r="A146" s="3" t="str">
        <f>"349466"</f>
        <v>349466</v>
      </c>
      <c r="B146" s="3" t="str">
        <f>"81983777738"</f>
        <v>81983777738</v>
      </c>
      <c r="C146" t="str">
        <f>"EVERYDAY COUNTER-BIRTHDAY PKG/6-U0394"</f>
        <v>EVERYDAY COUNTER-BIRTHDAY PKG/6-U0394</v>
      </c>
      <c r="D146" s="3" t="str">
        <f>"U0394"</f>
        <v>U0394</v>
      </c>
      <c r="E146" s="3" t="str">
        <f>"ED16B027"</f>
        <v>ED16B027</v>
      </c>
    </row>
    <row r="147" spans="1:5" x14ac:dyDescent="0.25">
      <c r="A147" s="3" t="str">
        <f>"349527"</f>
        <v>349527</v>
      </c>
      <c r="B147" s="3" t="str">
        <f>"81983778452"</f>
        <v>81983778452</v>
      </c>
      <c r="C147" t="str">
        <f>"EVERYDAY COUNTER-BIRTHDAY PKG/6-U0476"</f>
        <v>EVERYDAY COUNTER-BIRTHDAY PKG/6-U0476</v>
      </c>
      <c r="D147" s="3" t="s">
        <v>47</v>
      </c>
      <c r="E147" s="3" t="str">
        <f>"ED16B028"</f>
        <v>ED16B028</v>
      </c>
    </row>
    <row r="148" spans="1:5" x14ac:dyDescent="0.25">
      <c r="A148" s="3" t="str">
        <f>"349528"</f>
        <v>349528</v>
      </c>
      <c r="B148" s="3" t="str">
        <f>"81983778469"</f>
        <v>81983778469</v>
      </c>
      <c r="C148" t="str">
        <f>"EVERYDAY COUNTER-BIRTHDAY PKG/6-U0477"</f>
        <v>EVERYDAY COUNTER-BIRTHDAY PKG/6-U0477</v>
      </c>
      <c r="D148" s="3" t="s">
        <v>48</v>
      </c>
      <c r="E148" s="3" t="str">
        <f>"ED16B029"</f>
        <v>ED16B029</v>
      </c>
    </row>
    <row r="149" spans="1:5" x14ac:dyDescent="0.25">
      <c r="A149" s="3" t="str">
        <f>"279541"</f>
        <v>279541</v>
      </c>
      <c r="B149" s="3" t="str">
        <f>"81983774898"</f>
        <v>81983774898</v>
      </c>
      <c r="C149" t="str">
        <f>"EVERYDAY COUNTER-WEDDING PKG/6-J5563"</f>
        <v>EVERYDAY COUNTER-WEDDING PKG/6-J5563</v>
      </c>
      <c r="D149" s="3" t="str">
        <f>"J5563"</f>
        <v>J5563</v>
      </c>
      <c r="E149" s="3" t="str">
        <f>"ED16B030"</f>
        <v>ED16B030</v>
      </c>
    </row>
    <row r="150" spans="1:5" x14ac:dyDescent="0.25">
      <c r="A150" s="3" t="str">
        <f>"298741"</f>
        <v>298741</v>
      </c>
      <c r="B150" s="3" t="str">
        <f>"81983772375"</f>
        <v>81983772375</v>
      </c>
      <c r="C150" t="str">
        <f>"EVERYDAY COUNTER-WEDDING-J9949"</f>
        <v>EVERYDAY COUNTER-WEDDING-J9949</v>
      </c>
      <c r="D150" s="3" t="str">
        <f>"J9949"</f>
        <v>J9949</v>
      </c>
      <c r="E150" s="3" t="str">
        <f>"ED16B031"</f>
        <v>ED16B031</v>
      </c>
    </row>
    <row r="151" spans="1:5" x14ac:dyDescent="0.25">
      <c r="A151" s="3" t="str">
        <f>"298744"</f>
        <v>298744</v>
      </c>
      <c r="B151" s="3" t="str">
        <f>"81983771712"</f>
        <v>81983771712</v>
      </c>
      <c r="C151" t="str">
        <f>"EVERYDAY COUNTER-ANNIVERSARY-HUSBAND PKG/6-J9883"</f>
        <v>EVERYDAY COUNTER-ANNIVERSARY-HUSBAND PKG/6-J9883</v>
      </c>
      <c r="D151" s="3" t="str">
        <f>"J9883"</f>
        <v>J9883</v>
      </c>
      <c r="E151" s="3" t="str">
        <f>"ED16B032"</f>
        <v>ED16B032</v>
      </c>
    </row>
    <row r="152" spans="1:5" x14ac:dyDescent="0.25">
      <c r="A152" s="3" t="str">
        <f>"279456"</f>
        <v>279456</v>
      </c>
      <c r="B152" s="3" t="str">
        <f>"81983738289"</f>
        <v>81983738289</v>
      </c>
      <c r="C152" t="str">
        <f>"EVERYDAY COUNTER-BIRTHDAY 16YR FOR ANYONE PKG/6-J5495"</f>
        <v>EVERYDAY COUNTER-BIRTHDAY 16YR FOR ANYONE PKG/6-J5495</v>
      </c>
      <c r="D152" s="3" t="str">
        <f>"J5495"</f>
        <v>J5495</v>
      </c>
      <c r="E152" s="3" t="str">
        <f>"ED16B033"</f>
        <v>ED16B033</v>
      </c>
    </row>
    <row r="153" spans="1:5" x14ac:dyDescent="0.25">
      <c r="A153" s="3" t="str">
        <f>"349468"</f>
        <v>349468</v>
      </c>
      <c r="B153" s="3" t="str">
        <f>"81983777745"</f>
        <v>81983777745</v>
      </c>
      <c r="C153" t="str">
        <f>"EVERYDAY COUNTER-BIRTHDAY PKG/6-U0395"</f>
        <v>EVERYDAY COUNTER-BIRTHDAY PKG/6-U0395</v>
      </c>
      <c r="D153" s="3" t="str">
        <f>"U0395"</f>
        <v>U0395</v>
      </c>
      <c r="E153" s="3" t="str">
        <f>"ED16B034"</f>
        <v>ED16B034</v>
      </c>
    </row>
    <row r="154" spans="1:5" x14ac:dyDescent="0.25">
      <c r="A154" s="3" t="str">
        <f>"349467"</f>
        <v>349467</v>
      </c>
      <c r="B154" s="3" t="str">
        <f>"81983777752"</f>
        <v>81983777752</v>
      </c>
      <c r="C154" t="str">
        <f>"EVERYDAY COUNTER-BIRTHDAY PKG/6-U0396"</f>
        <v>EVERYDAY COUNTER-BIRTHDAY PKG/6-U0396</v>
      </c>
      <c r="D154" s="3" t="str">
        <f>"U0396"</f>
        <v>U0396</v>
      </c>
      <c r="E154" s="3" t="str">
        <f>"ED16B035"</f>
        <v>ED16B035</v>
      </c>
    </row>
    <row r="155" spans="1:5" x14ac:dyDescent="0.25">
      <c r="A155" s="3" t="str">
        <f>"349522"</f>
        <v>349522</v>
      </c>
      <c r="B155" s="3" t="str">
        <f>"81983777936"</f>
        <v>81983777936</v>
      </c>
      <c r="C155" t="str">
        <f>"EVERYDAY COUNTER-BIRTHDAY PKG/6-U0414"</f>
        <v>EVERYDAY COUNTER-BIRTHDAY PKG/6-U0414</v>
      </c>
      <c r="D155" s="3" t="s">
        <v>18</v>
      </c>
      <c r="E155" s="3" t="str">
        <f>"ED16B036"</f>
        <v>ED16B036</v>
      </c>
    </row>
    <row r="156" spans="1:5" x14ac:dyDescent="0.25">
      <c r="A156" s="3" t="str">
        <f>"308176"</f>
        <v>308176</v>
      </c>
      <c r="B156" s="3" t="str">
        <f>"81983678707"</f>
        <v>81983678707</v>
      </c>
      <c r="C156" t="str">
        <f>"EVERYDAY COUNTER-SPECIAL FRIEND FEMINE-84664"</f>
        <v>EVERYDAY COUNTER-SPECIAL FRIEND FEMINE-84664</v>
      </c>
      <c r="D156" s="3" t="str">
        <f>"84664"</f>
        <v>84664</v>
      </c>
      <c r="E156" s="3" t="str">
        <f>"ED16B037"</f>
        <v>ED16B037</v>
      </c>
    </row>
    <row r="157" spans="1:5" x14ac:dyDescent="0.25">
      <c r="A157" s="3" t="str">
        <f>"279648"</f>
        <v>279648</v>
      </c>
      <c r="B157" s="3" t="str">
        <f>"81983757877"</f>
        <v>81983757877</v>
      </c>
      <c r="C157" t="str">
        <f>"EVERYDAY COUNTER-WEDDING PKG/6-J8235"</f>
        <v>EVERYDAY COUNTER-WEDDING PKG/6-J8235</v>
      </c>
      <c r="D157" s="3" t="str">
        <f>"J8235"</f>
        <v>J8235</v>
      </c>
      <c r="E157" s="3" t="str">
        <f>"ED16B038"</f>
        <v>ED16B038</v>
      </c>
    </row>
    <row r="158" spans="1:5" x14ac:dyDescent="0.25">
      <c r="A158" s="3" t="str">
        <f>"308119"</f>
        <v>308119</v>
      </c>
      <c r="B158" s="3" t="str">
        <f>"81983678639"</f>
        <v>81983678639</v>
      </c>
      <c r="C158" t="str">
        <f>"EVERYDAY COUNTER-WEDDING-78848"</f>
        <v>EVERYDAY COUNTER-WEDDING-78848</v>
      </c>
      <c r="D158" s="3" t="str">
        <f>"78848"</f>
        <v>78848</v>
      </c>
      <c r="E158" s="3" t="str">
        <f>"ED16B039"</f>
        <v>ED16B039</v>
      </c>
    </row>
    <row r="159" spans="1:5" x14ac:dyDescent="0.25">
      <c r="A159" s="3" t="str">
        <f>"307927"</f>
        <v>307927</v>
      </c>
      <c r="B159" s="3" t="str">
        <f>"81983678486"</f>
        <v>81983678486</v>
      </c>
      <c r="C159" t="str">
        <f>"EVERYDAY COUNTER-ANN-HUSBAND PKG/6-44449"</f>
        <v>EVERYDAY COUNTER-ANN-HUSBAND PKG/6-44449</v>
      </c>
      <c r="D159" s="3" t="str">
        <f>"44449"</f>
        <v>44449</v>
      </c>
      <c r="E159" s="3" t="str">
        <f>"ED16B040"</f>
        <v>ED16B040</v>
      </c>
    </row>
    <row r="160" spans="1:5" x14ac:dyDescent="0.25">
      <c r="A160" s="3" t="str">
        <f>"308200"</f>
        <v>308200</v>
      </c>
      <c r="B160" s="3" t="str">
        <f>"81983677151"</f>
        <v>81983677151</v>
      </c>
      <c r="C160" t="str">
        <f>"EVERYDAY COUNTER-BDAY 30TH PKG/6-91975"</f>
        <v>EVERYDAY COUNTER-BDAY 30TH PKG/6-91975</v>
      </c>
      <c r="D160" s="3" t="str">
        <f>"91975"</f>
        <v>91975</v>
      </c>
      <c r="E160" s="3" t="str">
        <f>"ED16B041"</f>
        <v>ED16B041</v>
      </c>
    </row>
    <row r="161" spans="1:5" x14ac:dyDescent="0.25">
      <c r="A161" s="3" t="str">
        <f>"279675"</f>
        <v>279675</v>
      </c>
      <c r="B161" s="3" t="str">
        <f>"81983763694"</f>
        <v>81983763694</v>
      </c>
      <c r="C161" t="str">
        <f>"EVERYDAY COUNTER-BIRTHDAY 40TH PKG/6-J8980"</f>
        <v>EVERYDAY COUNTER-BIRTHDAY 40TH PKG/6-J8980</v>
      </c>
      <c r="D161" s="3" t="str">
        <f>"J8980"</f>
        <v>J8980</v>
      </c>
      <c r="E161" s="3" t="str">
        <f>"ED16B042"</f>
        <v>ED16B042</v>
      </c>
    </row>
    <row r="162" spans="1:5" x14ac:dyDescent="0.25">
      <c r="A162" s="3" t="str">
        <f>"279676"</f>
        <v>279676</v>
      </c>
      <c r="B162" s="3" t="str">
        <f>"81983763700"</f>
        <v>81983763700</v>
      </c>
      <c r="C162" t="str">
        <f>"EVERYDAY COUNTER-BIRTHDAY 50TH PKG/6-J8981"</f>
        <v>EVERYDAY COUNTER-BIRTHDAY 50TH PKG/6-J8981</v>
      </c>
      <c r="D162" s="3" t="str">
        <f>"J8981"</f>
        <v>J8981</v>
      </c>
      <c r="E162" s="3" t="str">
        <f>"ED16B043"</f>
        <v>ED16B043</v>
      </c>
    </row>
    <row r="163" spans="1:5" x14ac:dyDescent="0.25">
      <c r="A163" s="3" t="str">
        <f>"308177"</f>
        <v>308177</v>
      </c>
      <c r="B163" s="3" t="str">
        <f>"81983528941"</f>
        <v>81983528941</v>
      </c>
      <c r="C163" t="str">
        <f>"EVERYDAY COUNTER-BD SPECIAL FRIEND-84665"</f>
        <v>EVERYDAY COUNTER-BD SPECIAL FRIEND-84665</v>
      </c>
      <c r="D163" s="3" t="str">
        <f>"84665"</f>
        <v>84665</v>
      </c>
      <c r="E163" s="3" t="str">
        <f>"ED16B044"</f>
        <v>ED16B044</v>
      </c>
    </row>
    <row r="164" spans="1:5" x14ac:dyDescent="0.25">
      <c r="A164" s="3" t="str">
        <f>"308174"</f>
        <v>308174</v>
      </c>
      <c r="B164" s="3" t="str">
        <f>"81983773259"</f>
        <v>81983773259</v>
      </c>
      <c r="C164" t="str">
        <f>"EVERYDAY COUNTER-SPECIAL FRIEND FEMININE-84660"</f>
        <v>EVERYDAY COUNTER-SPECIAL FRIEND FEMININE-84660</v>
      </c>
      <c r="D164" s="3" t="str">
        <f>"84660"</f>
        <v>84660</v>
      </c>
      <c r="E164" s="3" t="str">
        <f>"ED16B045"</f>
        <v>ED16B045</v>
      </c>
    </row>
    <row r="165" spans="1:5" x14ac:dyDescent="0.25">
      <c r="A165" s="3" t="str">
        <f>"279651"</f>
        <v>279651</v>
      </c>
      <c r="B165" s="3" t="str">
        <f>"81983757884"</f>
        <v>81983757884</v>
      </c>
      <c r="C165" t="str">
        <f>"EVERYDAY COUNTER-WEDDING PKG/6-J8236"</f>
        <v>EVERYDAY COUNTER-WEDDING PKG/6-J8236</v>
      </c>
      <c r="D165" s="3" t="str">
        <f>"J8236"</f>
        <v>J8236</v>
      </c>
      <c r="E165" s="3" t="str">
        <f>"ED16B046"</f>
        <v>ED16B046</v>
      </c>
    </row>
    <row r="166" spans="1:5" x14ac:dyDescent="0.25">
      <c r="A166" s="3" t="str">
        <f>"279535"</f>
        <v>279535</v>
      </c>
      <c r="B166" s="3" t="str">
        <f>"81983738913"</f>
        <v>81983738913</v>
      </c>
      <c r="C166" t="str">
        <f>"EVERYDAY COUNTER-WEDDING PKG/6-J5558"</f>
        <v>EVERYDAY COUNTER-WEDDING PKG/6-J5558</v>
      </c>
      <c r="D166" s="3" t="str">
        <f>"J5558"</f>
        <v>J5558</v>
      </c>
      <c r="E166" s="3" t="str">
        <f>"ED16B047"</f>
        <v>ED16B047</v>
      </c>
    </row>
    <row r="167" spans="1:5" x14ac:dyDescent="0.25">
      <c r="A167" s="3" t="str">
        <f>"298675"</f>
        <v>298675</v>
      </c>
      <c r="B167" s="3" t="str">
        <f>"81983772870"</f>
        <v>81983772870</v>
      </c>
      <c r="C167" t="str">
        <f>"EVERYDAY COUNTER-ANN HUSBAND PKG/6-10241"</f>
        <v>EVERYDAY COUNTER-ANN HUSBAND PKG/6-10241</v>
      </c>
      <c r="D167" s="3" t="str">
        <f>"10241"</f>
        <v>10241</v>
      </c>
      <c r="E167" s="3" t="str">
        <f>"ED16B048"</f>
        <v>ED16B048</v>
      </c>
    </row>
    <row r="168" spans="1:5" x14ac:dyDescent="0.25">
      <c r="A168" s="3" t="str">
        <f>"308365"</f>
        <v>308365</v>
      </c>
      <c r="B168" s="3" t="str">
        <f>"81983714757"</f>
        <v>81983714757</v>
      </c>
      <c r="C168" t="str">
        <f>"EVERYDAY COUNTER-BD 60 FOR ANYONE PKG/6-J2701"</f>
        <v>EVERYDAY COUNTER-BD 60 FOR ANYONE PKG/6-J2701</v>
      </c>
      <c r="D168" s="3" t="s">
        <v>19</v>
      </c>
      <c r="E168" s="3" t="str">
        <f>"ED16B049"</f>
        <v>ED16B049</v>
      </c>
    </row>
    <row r="169" spans="1:5" x14ac:dyDescent="0.25">
      <c r="A169" s="3" t="str">
        <f>"279678"</f>
        <v>279678</v>
      </c>
      <c r="B169" s="3" t="str">
        <f>"81983763717"</f>
        <v>81983763717</v>
      </c>
      <c r="C169" t="str">
        <f>"EVERYDAY COUNTER-BIRTHDAY 60TH PKG/6-J8982"</f>
        <v>EVERYDAY COUNTER-BIRTHDAY 60TH PKG/6-J8982</v>
      </c>
      <c r="D169" s="3" t="str">
        <f>"J8982"</f>
        <v>J8982</v>
      </c>
      <c r="E169" s="3" t="str">
        <f>"ED16B050"</f>
        <v>ED16B050</v>
      </c>
    </row>
    <row r="170" spans="1:5" x14ac:dyDescent="0.25">
      <c r="A170" s="3" t="str">
        <f>"308362"</f>
        <v>308362</v>
      </c>
      <c r="B170" s="3" t="str">
        <f>"81983714726"</f>
        <v>81983714726</v>
      </c>
      <c r="C170" t="str">
        <f>"EVERYDAY COUNTER-BD 50 FOR ANYONE PKG/6-J2698"</f>
        <v>EVERYDAY COUNTER-BD 50 FOR ANYONE PKG/6-J2698</v>
      </c>
      <c r="D170" s="3" t="str">
        <f>"J2698"</f>
        <v>J2698</v>
      </c>
      <c r="E170" s="3" t="str">
        <f>"ED16B051"</f>
        <v>ED16B051</v>
      </c>
    </row>
    <row r="171" spans="1:5" x14ac:dyDescent="0.25">
      <c r="A171" s="3" t="str">
        <f>"349521"</f>
        <v>349521</v>
      </c>
      <c r="B171" s="3" t="str">
        <f>"81983777950"</f>
        <v>81983777950</v>
      </c>
      <c r="C171" t="str">
        <f>"EVERYDAY COUNTER-BIRTHDAY PKG/6-U0416"</f>
        <v>EVERYDAY COUNTER-BIRTHDAY PKG/6-U0416</v>
      </c>
      <c r="D171" s="3" t="s">
        <v>20</v>
      </c>
      <c r="E171" s="3" t="str">
        <f>"ED16B052"</f>
        <v>ED16B052</v>
      </c>
    </row>
    <row r="172" spans="1:5" x14ac:dyDescent="0.25">
      <c r="A172" s="3" t="str">
        <f>"298766"</f>
        <v>298766</v>
      </c>
      <c r="B172" s="3" t="str">
        <f>"81983773273"</f>
        <v>81983773273</v>
      </c>
      <c r="C172" t="str">
        <f>"EVERYDAY COUNTER-BIRTHDAY-SPECIAL FRIEND-11794"</f>
        <v>EVERYDAY COUNTER-BIRTHDAY-SPECIAL FRIEND-11794</v>
      </c>
      <c r="D172" s="3" t="str">
        <f>"11794"</f>
        <v>11794</v>
      </c>
      <c r="E172" s="3" t="str">
        <f>"ED16B053"</f>
        <v>ED16B053</v>
      </c>
    </row>
    <row r="173" spans="1:5" x14ac:dyDescent="0.25">
      <c r="A173" s="3" t="str">
        <f>"308373"</f>
        <v>308373</v>
      </c>
      <c r="B173" s="3" t="str">
        <f>"81983714832"</f>
        <v>81983714832</v>
      </c>
      <c r="C173" t="str">
        <f>"EVERYDAY COUNTER-BD PASTOR PKG/6-J2709"</f>
        <v>EVERYDAY COUNTER-BD PASTOR PKG/6-J2709</v>
      </c>
      <c r="D173" s="3" t="str">
        <f>"J2709"</f>
        <v>J2709</v>
      </c>
      <c r="E173" s="3" t="str">
        <f>"ED16B054"</f>
        <v>ED16B054</v>
      </c>
    </row>
    <row r="174" spans="1:5" x14ac:dyDescent="0.25">
      <c r="A174" s="3" t="str">
        <f>"308236"</f>
        <v>308236</v>
      </c>
      <c r="B174" s="3" t="str">
        <f>"81983774850"</f>
        <v>81983774850</v>
      </c>
      <c r="C174" t="str">
        <f>"EVERYDAY COUNTER-WEDDING PKG/6-92024"</f>
        <v>EVERYDAY COUNTER-WEDDING PKG/6-92024</v>
      </c>
      <c r="D174" s="3" t="str">
        <f>"92024"</f>
        <v>92024</v>
      </c>
      <c r="E174" s="3" t="str">
        <f>"ED16B055"</f>
        <v>ED16B055</v>
      </c>
    </row>
    <row r="175" spans="1:5" x14ac:dyDescent="0.25">
      <c r="A175" s="3" t="str">
        <f>"298682"</f>
        <v>298682</v>
      </c>
      <c r="B175" s="3" t="str">
        <f>"81983772887"</f>
        <v>81983772887</v>
      </c>
      <c r="C175" t="str">
        <f>"EVERYDAY COUNTER-ANN HUSBAND PKG/6-10252"</f>
        <v>EVERYDAY COUNTER-ANN HUSBAND PKG/6-10252</v>
      </c>
      <c r="D175" s="3" t="str">
        <f>"10252"</f>
        <v>10252</v>
      </c>
      <c r="E175" s="3" t="str">
        <f>"ED16B056"</f>
        <v>ED16B056</v>
      </c>
    </row>
    <row r="176" spans="1:5" x14ac:dyDescent="0.25">
      <c r="A176" s="3" t="str">
        <f>"308367"</f>
        <v>308367</v>
      </c>
      <c r="B176" s="3" t="str">
        <f>"81983714771"</f>
        <v>81983714771</v>
      </c>
      <c r="C176" t="str">
        <f>"EVERYDAY COUNTER-BD 70 FOR ANYONE PKG/6-J2703"</f>
        <v>EVERYDAY COUNTER-BD 70 FOR ANYONE PKG/6-J2703</v>
      </c>
      <c r="D176" s="3" t="str">
        <f>"J2703"</f>
        <v>J2703</v>
      </c>
      <c r="E176" s="3" t="str">
        <f>"ED16B057"</f>
        <v>ED16B057</v>
      </c>
    </row>
    <row r="177" spans="1:5" x14ac:dyDescent="0.25">
      <c r="A177" s="3" t="str">
        <f>"349459"</f>
        <v>349459</v>
      </c>
      <c r="B177" s="3" t="str">
        <f>"81983777707"</f>
        <v>81983777707</v>
      </c>
      <c r="C177" t="str">
        <f>"EVERYDAY COUNTER-BIRTHDAY PKG/6-U0391"</f>
        <v>EVERYDAY COUNTER-BIRTHDAY PKG/6-U0391</v>
      </c>
      <c r="D177" s="3" t="str">
        <f>"U0391"</f>
        <v>U0391</v>
      </c>
      <c r="E177" s="3" t="str">
        <f>"ED16B058"</f>
        <v>ED16B058</v>
      </c>
    </row>
    <row r="178" spans="1:5" x14ac:dyDescent="0.25">
      <c r="A178" s="3" t="str">
        <f>"279680"</f>
        <v>279680</v>
      </c>
      <c r="B178" s="3" t="str">
        <f>"81983763724"</f>
        <v>81983763724</v>
      </c>
      <c r="C178" t="str">
        <f>"EVERYDAY COUNTER-BIRTHDAY 80TH PKG/6-J8983"</f>
        <v>EVERYDAY COUNTER-BIRTHDAY 80TH PKG/6-J8983</v>
      </c>
      <c r="D178" s="3" t="str">
        <f>"J8983"</f>
        <v>J8983</v>
      </c>
      <c r="E178" s="3" t="str">
        <f>"ED16B059"</f>
        <v>ED16B059</v>
      </c>
    </row>
    <row r="179" spans="1:5" x14ac:dyDescent="0.25">
      <c r="A179" s="3" t="str">
        <f>"349523"</f>
        <v>349523</v>
      </c>
      <c r="B179" s="3" t="str">
        <f>"81983777943"</f>
        <v>81983777943</v>
      </c>
      <c r="C179" t="str">
        <f>"EVERYDAY COUNTER-BIRTHDAY PKG/6-U0415"</f>
        <v>EVERYDAY COUNTER-BIRTHDAY PKG/6-U0415</v>
      </c>
      <c r="D179" s="3" t="s">
        <v>21</v>
      </c>
      <c r="E179" s="3" t="str">
        <f>"ED16B060"</f>
        <v>ED16B060</v>
      </c>
    </row>
    <row r="180" spans="1:5" x14ac:dyDescent="0.25">
      <c r="A180" s="3" t="str">
        <f>"308188"</f>
        <v>308188</v>
      </c>
      <c r="B180" s="3" t="str">
        <f>"81983536014"</f>
        <v>81983536014</v>
      </c>
      <c r="C180" t="str">
        <f>"EVERYDAY COUNTER-SPECIAL FRIEND FEMINE-86905"</f>
        <v>EVERYDAY COUNTER-SPECIAL FRIEND FEMINE-86905</v>
      </c>
      <c r="D180" s="3" t="str">
        <f>"86905"</f>
        <v>86905</v>
      </c>
      <c r="E180" s="3" t="str">
        <f>"ED16B061"</f>
        <v>ED16B061</v>
      </c>
    </row>
    <row r="181" spans="1:5" x14ac:dyDescent="0.25">
      <c r="A181" s="3" t="str">
        <f>"349469"</f>
        <v>349469</v>
      </c>
      <c r="B181" s="3" t="str">
        <f>"81983777769"</f>
        <v>81983777769</v>
      </c>
      <c r="C181" t="str">
        <f>"EVERYDAY COUNTER-BIRTHDAY PKG/6-U0397"</f>
        <v>EVERYDAY COUNTER-BIRTHDAY PKG/6-U0397</v>
      </c>
      <c r="D181" s="3" t="str">
        <f>"U0397"</f>
        <v>U0397</v>
      </c>
      <c r="E181" s="3" t="str">
        <f>"ED16B062"</f>
        <v>ED16B062</v>
      </c>
    </row>
    <row r="182" spans="1:5" x14ac:dyDescent="0.25">
      <c r="A182" s="3" t="str">
        <f>"308123"</f>
        <v>308123</v>
      </c>
      <c r="B182" s="3" t="str">
        <f>"81983678646"</f>
        <v>81983678646</v>
      </c>
      <c r="C182" t="str">
        <f>"EVERYDAY COUNTER-WEDDING-78872"</f>
        <v>EVERYDAY COUNTER-WEDDING-78872</v>
      </c>
      <c r="D182" s="3" t="str">
        <f>"78872"</f>
        <v>78872</v>
      </c>
      <c r="E182" s="3" t="str">
        <f>"ED16B063"</f>
        <v>ED16B063</v>
      </c>
    </row>
    <row r="183" spans="1:5" x14ac:dyDescent="0.25">
      <c r="A183" s="3" t="str">
        <f>"345268"</f>
        <v>345268</v>
      </c>
      <c r="B183" s="3" t="str">
        <f>"81983793875"</f>
        <v>81983793875</v>
      </c>
      <c r="C183" t="str">
        <f>"EVERYDAY COUNTER-WEDDING/HUSBAND PKG/6"</f>
        <v>EVERYDAY COUNTER-WEDDING/HUSBAND PKG/6</v>
      </c>
      <c r="D183" s="3" t="str">
        <f>"U2603"</f>
        <v>U2603</v>
      </c>
      <c r="E183" s="3" t="str">
        <f>"ED16B064"</f>
        <v>ED16B064</v>
      </c>
    </row>
    <row r="184" spans="1:5" x14ac:dyDescent="0.25">
      <c r="A184" s="3" t="str">
        <f>"279693"</f>
        <v>279693</v>
      </c>
      <c r="B184" s="3" t="str">
        <f>"81983763823"</f>
        <v>81983763823</v>
      </c>
      <c r="C184" t="str">
        <f>"EVERYDAY COUNTER-BIRTHDAY GENERAL FOR ANYONE PKG/6-J8993"</f>
        <v>EVERYDAY COUNTER-BIRTHDAY GENERAL FOR ANYONE PKG/6-J8993</v>
      </c>
      <c r="D184" s="3" t="s">
        <v>22</v>
      </c>
      <c r="E184" s="3" t="str">
        <f>"ED16B065"</f>
        <v>ED16B065</v>
      </c>
    </row>
    <row r="185" spans="1:5" x14ac:dyDescent="0.25">
      <c r="A185" s="3" t="str">
        <f>"308161"</f>
        <v>308161</v>
      </c>
      <c r="B185" s="3" t="str">
        <f>"81983603143"</f>
        <v>81983603143</v>
      </c>
      <c r="C185" t="str">
        <f>"EVERYDAY COUNTER-MULTI-YEAR (Pk/6)-83997"</f>
        <v>EVERYDAY COUNTER-MULTI-YEAR (Pk/6)-83997</v>
      </c>
      <c r="D185" s="3" t="s">
        <v>23</v>
      </c>
      <c r="E185" s="3" t="str">
        <f>"ED16B066"</f>
        <v>ED16B066</v>
      </c>
    </row>
    <row r="186" spans="1:5" x14ac:dyDescent="0.25">
      <c r="A186" s="3" t="str">
        <f>"308368"</f>
        <v>308368</v>
      </c>
      <c r="B186" s="3" t="str">
        <f>"81983714788"</f>
        <v>81983714788</v>
      </c>
      <c r="C186" t="str">
        <f>"EVERYDAY COUNTER-BIRTHDAY MULTI-YEAR PKG/6-J2704"</f>
        <v>EVERYDAY COUNTER-BIRTHDAY MULTI-YEAR PKG/6-J2704</v>
      </c>
      <c r="D186" s="3" t="str">
        <f>"J2704"</f>
        <v>J2704</v>
      </c>
      <c r="E186" s="3" t="str">
        <f>"ED16B067"</f>
        <v>ED16B067</v>
      </c>
    </row>
    <row r="187" spans="1:5" x14ac:dyDescent="0.25">
      <c r="A187" s="3" t="str">
        <f>"349476"</f>
        <v>349476</v>
      </c>
      <c r="B187" s="3" t="str">
        <f>"81983777776"</f>
        <v>81983777776</v>
      </c>
      <c r="C187" t="str">
        <f>"EVERYDAY COUNTER-BIRTHDAY PKG/6-U0398"</f>
        <v>EVERYDAY COUNTER-BIRTHDAY PKG/6-U0398</v>
      </c>
      <c r="D187" s="3" t="s">
        <v>24</v>
      </c>
      <c r="E187" s="3" t="str">
        <f>"ED16B068"</f>
        <v>ED16B068</v>
      </c>
    </row>
    <row r="188" spans="1:5" x14ac:dyDescent="0.25">
      <c r="A188" s="3" t="str">
        <f>"308185"</f>
        <v>308185</v>
      </c>
      <c r="B188" s="3" t="str">
        <f>"81983773266"</f>
        <v>81983773266</v>
      </c>
      <c r="C188" t="str">
        <f>"EVERYDAY COUNTER-SPECIAL FRIEND FEMININE-86897"</f>
        <v>EVERYDAY COUNTER-SPECIAL FRIEND FEMININE-86897</v>
      </c>
      <c r="D188" s="3" t="str">
        <f>"86897"</f>
        <v>86897</v>
      </c>
      <c r="E188" s="3" t="str">
        <f>"ED16B069"</f>
        <v>ED16B069</v>
      </c>
    </row>
    <row r="189" spans="1:5" x14ac:dyDescent="0.25">
      <c r="A189" s="3" t="str">
        <f>"279462"</f>
        <v>279462</v>
      </c>
      <c r="B189" s="3" t="str">
        <f>"81983738333"</f>
        <v>81983738333</v>
      </c>
      <c r="C189" t="str">
        <f>"EVERYDAY COUNTER-BIRTHDAY PASTOR PKG/6-J5500"</f>
        <v>EVERYDAY COUNTER-BIRTHDAY PASTOR PKG/6-J5500</v>
      </c>
      <c r="D189" s="3" t="s">
        <v>25</v>
      </c>
      <c r="E189" s="3" t="str">
        <f>"ED16B070"</f>
        <v>ED16B070</v>
      </c>
    </row>
    <row r="190" spans="1:5" x14ac:dyDescent="0.25">
      <c r="A190" s="3" t="str">
        <f>"308122"</f>
        <v>308122</v>
      </c>
      <c r="B190" s="3" t="str">
        <f>"81983603051"</f>
        <v>81983603051</v>
      </c>
      <c r="C190" t="str">
        <f>"EVERYDAY COUNTER-WEDDING-78865"</f>
        <v>EVERYDAY COUNTER-WEDDING-78865</v>
      </c>
      <c r="D190" s="3" t="str">
        <f>"78865"</f>
        <v>78865</v>
      </c>
      <c r="E190" s="3" t="str">
        <f>"ED16B071"</f>
        <v>ED16B071</v>
      </c>
    </row>
    <row r="191" spans="1:5" x14ac:dyDescent="0.25">
      <c r="A191" s="3" t="str">
        <f>"345269"</f>
        <v>345269</v>
      </c>
      <c r="B191" s="3" t="str">
        <f>"81983793882"</f>
        <v>81983793882</v>
      </c>
      <c r="C191" t="str">
        <f>"EVERYDAY COUNTER-WEDDING/WIFE PKG/6"</f>
        <v>EVERYDAY COUNTER-WEDDING/WIFE PKG/6</v>
      </c>
      <c r="D191" s="3" t="str">
        <f>"U2604"</f>
        <v>U2604</v>
      </c>
      <c r="E191" s="3" t="str">
        <f>"ED16B072"</f>
        <v>ED16B072</v>
      </c>
    </row>
    <row r="192" spans="1:5" x14ac:dyDescent="0.25">
      <c r="A192" s="3" t="str">
        <f>"349484"</f>
        <v>349484</v>
      </c>
      <c r="B192" s="3" t="str">
        <f>"81983777875"</f>
        <v>81983777875</v>
      </c>
      <c r="C192" t="str">
        <f>"EVERYDAY COUNTER-BIRTHDAY PKG/6-U0408"</f>
        <v>EVERYDAY COUNTER-BIRTHDAY PKG/6-U0408</v>
      </c>
      <c r="D192" s="3" t="s">
        <v>26</v>
      </c>
      <c r="E192" s="3" t="str">
        <f>"ED16B073"</f>
        <v>ED16B073</v>
      </c>
    </row>
    <row r="193" spans="1:5" x14ac:dyDescent="0.25">
      <c r="A193" s="3" t="str">
        <f>"349477"</f>
        <v>349477</v>
      </c>
      <c r="B193" s="3" t="str">
        <f>"81983777783"</f>
        <v>81983777783</v>
      </c>
      <c r="C193" t="str">
        <f>"EVERYDAY COUNTER-BIRTHDAY PKG/6-U0399"</f>
        <v>EVERYDAY COUNTER-BIRTHDAY PKG/6-U0399</v>
      </c>
      <c r="D193" s="3" t="s">
        <v>27</v>
      </c>
      <c r="E193" s="3" t="str">
        <f>"ED16B074"</f>
        <v>ED16B074</v>
      </c>
    </row>
    <row r="194" spans="1:5" x14ac:dyDescent="0.25">
      <c r="A194" s="3" t="str">
        <f>"308273"</f>
        <v>308273</v>
      </c>
      <c r="B194" s="3" t="str">
        <f>"81983682490"</f>
        <v>81983682490</v>
      </c>
      <c r="C194" t="str">
        <f>"EVERYDAY COUNTER-BIRTHDAY-FEMININE PKG/6-J0023"</f>
        <v>EVERYDAY COUNTER-BIRTHDAY-FEMININE PKG/6-J0023</v>
      </c>
      <c r="D194" s="3" t="str">
        <f>"J0023"</f>
        <v>J0023</v>
      </c>
      <c r="E194" s="3" t="str">
        <f>"ED16B075"</f>
        <v>ED16B075</v>
      </c>
    </row>
    <row r="195" spans="1:5" x14ac:dyDescent="0.25">
      <c r="A195" s="3" t="str">
        <f>"308274"</f>
        <v>308274</v>
      </c>
      <c r="B195" s="3" t="str">
        <f>"81983773082"</f>
        <v>81983773082</v>
      </c>
      <c r="C195" t="str">
        <f>"EVERYDAY COUNTER-BIRTHDAY-FEMININE PKG/6-J0024"</f>
        <v>EVERYDAY COUNTER-BIRTHDAY-FEMININE PKG/6-J0024</v>
      </c>
      <c r="D195" s="3" t="s">
        <v>28</v>
      </c>
      <c r="E195" s="3" t="str">
        <f>"ED16B076"</f>
        <v>ED16B076</v>
      </c>
    </row>
    <row r="196" spans="1:5" x14ac:dyDescent="0.25">
      <c r="A196" s="3" t="str">
        <f>"349497"</f>
        <v>349497</v>
      </c>
      <c r="B196" s="3" t="str">
        <f>"81983777592"</f>
        <v>81983777592</v>
      </c>
      <c r="C196" t="str">
        <f>"EVERYDAY COUNTER-BIRTHDAY PKG/6-U0380"</f>
        <v>EVERYDAY COUNTER-BIRTHDAY PKG/6-U0380</v>
      </c>
      <c r="D196" s="3" t="str">
        <f>"U0380"</f>
        <v>U0380</v>
      </c>
      <c r="E196" s="3" t="str">
        <f>"ED16B077"</f>
        <v>ED16B077</v>
      </c>
    </row>
    <row r="197" spans="1:5" x14ac:dyDescent="0.25">
      <c r="A197" s="3" t="str">
        <f>"279464"</f>
        <v>279464</v>
      </c>
      <c r="B197" s="3" t="str">
        <f>"81983738357"</f>
        <v>81983738357</v>
      </c>
      <c r="C197" t="str">
        <f>"EVERYDAY COUNTER-BIRTHDAY PASTOR'S WIFE PKG/6-J5502"</f>
        <v>EVERYDAY COUNTER-BIRTHDAY PASTOR'S WIFE PKG/6-J5502</v>
      </c>
      <c r="D197" s="3" t="s">
        <v>29</v>
      </c>
      <c r="E197" s="3" t="str">
        <f>"ED16B078"</f>
        <v>ED16B078</v>
      </c>
    </row>
    <row r="198" spans="1:5" x14ac:dyDescent="0.25">
      <c r="A198" s="3" t="str">
        <f>"308234"</f>
        <v>308234</v>
      </c>
      <c r="B198" s="3" t="str">
        <f>"81983774836"</f>
        <v>81983774836</v>
      </c>
      <c r="C198" t="str">
        <f>"EVERYDAY COUNTER-WEDDING PKG/6-92015"</f>
        <v>EVERYDAY COUNTER-WEDDING PKG/6-92015</v>
      </c>
      <c r="D198" s="3" t="str">
        <f>"92015"</f>
        <v>92015</v>
      </c>
      <c r="E198" s="3" t="str">
        <f>"ED16B079"</f>
        <v>ED16B079</v>
      </c>
    </row>
    <row r="199" spans="1:5" x14ac:dyDescent="0.25">
      <c r="A199" s="3" t="str">
        <f>"401605"</f>
        <v>401605</v>
      </c>
      <c r="B199" s="3" t="str">
        <f>"81983772399"</f>
        <v>81983772399</v>
      </c>
      <c r="C199" t="str">
        <f>"EVERYDAY COUNTER-WEDDING-THANK YOU-J9951"</f>
        <v>EVERYDAY COUNTER-WEDDING-THANK YOU-J9951</v>
      </c>
      <c r="D199" s="3" t="str">
        <f>"J9951"</f>
        <v>J9951</v>
      </c>
      <c r="E199" s="3" t="str">
        <f>"ED16B080"</f>
        <v>ED16B080</v>
      </c>
    </row>
    <row r="200" spans="1:5" x14ac:dyDescent="0.25">
      <c r="A200" s="3" t="str">
        <f>"349481"</f>
        <v>349481</v>
      </c>
      <c r="B200" s="3" t="str">
        <f>"81983777882"</f>
        <v>81983777882</v>
      </c>
      <c r="C200" t="str">
        <f>"EVERYDAY COUNTER-BIRTHDAY PKG/6-U0409"</f>
        <v>EVERYDAY COUNTER-BIRTHDAY PKG/6-U0409</v>
      </c>
      <c r="D200" s="3" t="str">
        <f>"U0409"</f>
        <v>U0409</v>
      </c>
      <c r="E200" s="3" t="str">
        <f>"ED16B081"</f>
        <v>ED16B081</v>
      </c>
    </row>
    <row r="201" spans="1:5" x14ac:dyDescent="0.25">
      <c r="A201" s="3" t="str">
        <f>"349479"</f>
        <v>349479</v>
      </c>
      <c r="B201" s="3" t="str">
        <f>"81983777790"</f>
        <v>81983777790</v>
      </c>
      <c r="C201" t="str">
        <f>"EVERYDAY COUNTER-BIRTHDAY PKG/6-U0400"</f>
        <v>EVERYDAY COUNTER-BIRTHDAY PKG/6-U0400</v>
      </c>
      <c r="D201" s="3" t="str">
        <f>"U0400"</f>
        <v>U0400</v>
      </c>
      <c r="E201" s="3" t="str">
        <f>"ED16B082"</f>
        <v>ED16B082</v>
      </c>
    </row>
    <row r="202" spans="1:5" x14ac:dyDescent="0.25">
      <c r="A202" s="3" t="str">
        <f>"349478"</f>
        <v>349478</v>
      </c>
      <c r="B202" s="3" t="str">
        <f>"81983777806"</f>
        <v>81983777806</v>
      </c>
      <c r="C202" t="str">
        <f>"EVERYDAY COUNTER-BIRTHDAY PKG/6-U0401"</f>
        <v>EVERYDAY COUNTER-BIRTHDAY PKG/6-U0401</v>
      </c>
      <c r="D202" s="3" t="str">
        <f>"U0401"</f>
        <v>U0401</v>
      </c>
      <c r="E202" s="3" t="str">
        <f>"ED16B083"</f>
        <v>ED16B083</v>
      </c>
    </row>
    <row r="203" spans="1:5" x14ac:dyDescent="0.25">
      <c r="A203" s="3" t="str">
        <f>"308172"</f>
        <v>308172</v>
      </c>
      <c r="B203" s="3" t="str">
        <f>"81983773051"</f>
        <v>81983773051</v>
      </c>
      <c r="C203" t="str">
        <f>"EVERYDAY COUNTER-BD GENERAL FEMININE-84592"</f>
        <v>EVERYDAY COUNTER-BD GENERAL FEMININE-84592</v>
      </c>
      <c r="D203" s="3" t="s">
        <v>30</v>
      </c>
      <c r="E203" s="3" t="str">
        <f>"ED16B084"</f>
        <v>ED16B084</v>
      </c>
    </row>
    <row r="204" spans="1:5" x14ac:dyDescent="0.25">
      <c r="A204" s="3" t="str">
        <f>"349494"</f>
        <v>349494</v>
      </c>
      <c r="B204" s="3" t="str">
        <f>"81983777608"</f>
        <v>81983777608</v>
      </c>
      <c r="C204" t="str">
        <f>"EVERYDAY COUNTER-BIRTHDAY PKG/6-U0381"</f>
        <v>EVERYDAY COUNTER-BIRTHDAY PKG/6-U0381</v>
      </c>
      <c r="D204" s="3" t="str">
        <f>"U0381"</f>
        <v>U0381</v>
      </c>
      <c r="E204" s="3" t="str">
        <f>"ED16B085"</f>
        <v>ED16B085</v>
      </c>
    </row>
    <row r="205" spans="1:5" x14ac:dyDescent="0.25">
      <c r="A205" s="3" t="str">
        <f>"349501"</f>
        <v>349501</v>
      </c>
      <c r="B205" s="3" t="str">
        <f>"81983777615"</f>
        <v>81983777615</v>
      </c>
      <c r="C205" t="str">
        <f>"EVERYDAY COUNTER-BIRTHDAY PKG/6-U0382"</f>
        <v>EVERYDAY COUNTER-BIRTHDAY PKG/6-U0382</v>
      </c>
      <c r="D205" s="3" t="str">
        <f>"U0382"</f>
        <v>U0382</v>
      </c>
      <c r="E205" s="3" t="str">
        <f>"ED16B086"</f>
        <v>ED16B086</v>
      </c>
    </row>
    <row r="206" spans="1:5" x14ac:dyDescent="0.25">
      <c r="A206" s="3" t="str">
        <f>"349502"</f>
        <v>349502</v>
      </c>
      <c r="B206" s="3" t="str">
        <f>"81983777622"</f>
        <v>81983777622</v>
      </c>
      <c r="C206" t="str">
        <f>"EVERYDAY COUNTER-BIRTHDAY PKG/6-U0383"</f>
        <v>EVERYDAY COUNTER-BIRTHDAY PKG/6-U0383</v>
      </c>
      <c r="D206" s="3" t="str">
        <f>"U0383"</f>
        <v>U0383</v>
      </c>
      <c r="E206" s="3" t="str">
        <f>"ED16B087"</f>
        <v>ED16B087</v>
      </c>
    </row>
    <row r="207" spans="1:5" x14ac:dyDescent="0.25">
      <c r="A207" s="3" t="str">
        <f>"345267"</f>
        <v>345267</v>
      </c>
      <c r="B207" s="3" t="str">
        <f>"81983793868"</f>
        <v>81983793868</v>
      </c>
      <c r="C207" t="str">
        <f>"EVERYDAY COUNTER-WEDDING PKG/6-U2602"</f>
        <v>EVERYDAY COUNTER-WEDDING PKG/6-U2602</v>
      </c>
      <c r="D207" s="3" t="str">
        <f>"U2602"</f>
        <v>U2602</v>
      </c>
      <c r="E207" s="3" t="str">
        <f>"ED16B088"</f>
        <v>ED16B088</v>
      </c>
    </row>
    <row r="208" spans="1:5" x14ac:dyDescent="0.25">
      <c r="A208" s="3" t="str">
        <f>"298713"</f>
        <v>298713</v>
      </c>
      <c r="B208" s="3" t="str">
        <f>"81983772344"</f>
        <v>81983772344</v>
      </c>
      <c r="C208" t="str">
        <f>"EVERYDAY COUNTER-WEDDING ENGAGEMENT PKG/6-J9946"</f>
        <v>EVERYDAY COUNTER-WEDDING ENGAGEMENT PKG/6-J9946</v>
      </c>
      <c r="D208" s="3" t="str">
        <f>"J9946"</f>
        <v>J9946</v>
      </c>
      <c r="E208" s="3" t="str">
        <f>"ED16B089"</f>
        <v>ED16B089</v>
      </c>
    </row>
    <row r="209" spans="1:5" x14ac:dyDescent="0.25">
      <c r="A209" s="3" t="str">
        <f>"349483"</f>
        <v>349483</v>
      </c>
      <c r="B209" s="3" t="str">
        <f>"81983777899"</f>
        <v>81983777899</v>
      </c>
      <c r="C209" t="str">
        <f>"EVERYDAY COUNTER-BIRTHDAY PKG/6-U0410"</f>
        <v>EVERYDAY COUNTER-BIRTHDAY PKG/6-U0410</v>
      </c>
      <c r="D209" s="3" t="str">
        <f>"U0410"</f>
        <v>U0410</v>
      </c>
      <c r="E209" s="3" t="str">
        <f>"ED16B090"</f>
        <v>ED16B090</v>
      </c>
    </row>
    <row r="210" spans="1:5" x14ac:dyDescent="0.25">
      <c r="A210" s="3" t="str">
        <f>"349480"</f>
        <v>349480</v>
      </c>
      <c r="B210" s="3" t="str">
        <f>"81983777813"</f>
        <v>81983777813</v>
      </c>
      <c r="C210" t="str">
        <f>"EVERYDAY COUNTER-BIRTHDAY PKG/6-U0402"</f>
        <v>EVERYDAY COUNTER-BIRTHDAY PKG/6-U0402</v>
      </c>
      <c r="D210" s="3" t="str">
        <f>"U0402"</f>
        <v>U0402</v>
      </c>
      <c r="E210" s="3" t="str">
        <f>"ED16B091"</f>
        <v>ED16B091</v>
      </c>
    </row>
    <row r="211" spans="1:5" x14ac:dyDescent="0.25">
      <c r="A211" s="3" t="str">
        <f>"308379"</f>
        <v>308379</v>
      </c>
      <c r="B211" s="3" t="str">
        <f>"81983714887"</f>
        <v>81983714887</v>
      </c>
      <c r="C211" t="str">
        <f>"EVERYDAY COUNTER-BD GENERAL FEMININE PKG/6-J2714"</f>
        <v>EVERYDAY COUNTER-BD GENERAL FEMININE PKG/6-J2714</v>
      </c>
      <c r="D211" s="3" t="s">
        <v>31</v>
      </c>
      <c r="E211" s="3" t="str">
        <f>"ED16B092"</f>
        <v>ED16B092</v>
      </c>
    </row>
    <row r="212" spans="1:5" x14ac:dyDescent="0.25">
      <c r="A212" s="3" t="str">
        <f>"349474"</f>
        <v>349474</v>
      </c>
      <c r="B212" s="3" t="str">
        <f>"81983777820"</f>
        <v>81983777820</v>
      </c>
      <c r="C212" t="str">
        <f>"EVERYDAY COUNTER-BIRTHDAY PKG/6-U0403"</f>
        <v>EVERYDAY COUNTER-BIRTHDAY PKG/6-U0403</v>
      </c>
      <c r="D212" s="3" t="s">
        <v>32</v>
      </c>
      <c r="E212" s="3" t="str">
        <f>"ED16B093"</f>
        <v>ED16B093</v>
      </c>
    </row>
    <row r="213" spans="1:5" x14ac:dyDescent="0.25">
      <c r="A213" s="3" t="str">
        <f>"349503"</f>
        <v>349503</v>
      </c>
      <c r="B213" s="3" t="str">
        <f>"81983777639"</f>
        <v>81983777639</v>
      </c>
      <c r="C213" t="str">
        <f>"EVERYDAY COUNTER-BIRTHDAY PKG/6-U0384"</f>
        <v>EVERYDAY COUNTER-BIRTHDAY PKG/6-U0384</v>
      </c>
      <c r="D213" s="3" t="str">
        <f>"U0384"</f>
        <v>U0384</v>
      </c>
      <c r="E213" s="3" t="str">
        <f>"ED16B094"</f>
        <v>ED16B094</v>
      </c>
    </row>
    <row r="214" spans="1:5" x14ac:dyDescent="0.25">
      <c r="A214" s="3" t="str">
        <f>"349495"</f>
        <v>349495</v>
      </c>
      <c r="B214" s="3" t="str">
        <f>"81983777646"</f>
        <v>81983777646</v>
      </c>
      <c r="C214" t="str">
        <f>"EVERYDAY COUNTER-BIRTHDAY PKG/6-U0385"</f>
        <v>EVERYDAY COUNTER-BIRTHDAY PKG/6-U0385</v>
      </c>
      <c r="D214" s="3" t="str">
        <f>"U0385"</f>
        <v>U0385</v>
      </c>
      <c r="E214" s="3" t="str">
        <f>"ED16B095"</f>
        <v>ED16B095</v>
      </c>
    </row>
    <row r="215" spans="1:5" x14ac:dyDescent="0.25">
      <c r="A215" s="3" t="str">
        <f>"308369"</f>
        <v>308369</v>
      </c>
      <c r="B215" s="3" t="str">
        <f>"81983714795"</f>
        <v>81983714795</v>
      </c>
      <c r="C215" t="str">
        <f>"EVERYDAY COUNTER-BELATED BIRTHDAY PKG/6-J2705"</f>
        <v>EVERYDAY COUNTER-BELATED BIRTHDAY PKG/6-J2705</v>
      </c>
      <c r="D215" s="3" t="str">
        <f>"J2705"</f>
        <v>J2705</v>
      </c>
      <c r="E215" s="3" t="str">
        <f>"ED16B096"</f>
        <v>ED16B096</v>
      </c>
    </row>
    <row r="216" spans="1:5" x14ac:dyDescent="0.25">
      <c r="A216" s="3" t="str">
        <f>"308239"</f>
        <v>308239</v>
      </c>
      <c r="B216" s="3" t="str">
        <f>"081983774799"</f>
        <v>081983774799</v>
      </c>
      <c r="C216" t="str">
        <f>"EVERYDAY COUNTER-WEDDING PKG/6-92028"</f>
        <v>EVERYDAY COUNTER-WEDDING PKG/6-92028</v>
      </c>
      <c r="D216" s="3" t="str">
        <f>"92028"</f>
        <v>92028</v>
      </c>
      <c r="E216" s="3" t="str">
        <f>"ED16B097"</f>
        <v>ED16B097</v>
      </c>
    </row>
    <row r="217" spans="1:5" x14ac:dyDescent="0.25">
      <c r="A217" s="3" t="str">
        <f>"279647"</f>
        <v>279647</v>
      </c>
      <c r="B217" s="3" t="str">
        <f>"81983757860"</f>
        <v>81983757860</v>
      </c>
      <c r="C217" t="str">
        <f>"EVERYDAY COUNTER-WEDDING-ENGAGEMENT PKG/6-J8234"</f>
        <v>EVERYDAY COUNTER-WEDDING-ENGAGEMENT PKG/6-J8234</v>
      </c>
      <c r="D217" s="3" t="str">
        <f>"J8234"</f>
        <v>J8234</v>
      </c>
      <c r="E217" s="3" t="str">
        <f>"ED16B098"</f>
        <v>ED16B098</v>
      </c>
    </row>
    <row r="218" spans="1:5" x14ac:dyDescent="0.25">
      <c r="A218" s="3" t="str">
        <f>"349482"</f>
        <v>349482</v>
      </c>
      <c r="B218" s="3" t="str">
        <f>"81983777905"</f>
        <v>81983777905</v>
      </c>
      <c r="C218" t="str">
        <f>"EVERYDAY COUNTER-BIRTHDAY PKG/6-U0411"</f>
        <v>EVERYDAY COUNTER-BIRTHDAY PKG/6-U0411</v>
      </c>
      <c r="D218" s="3" t="str">
        <f>"U0411"</f>
        <v>U0411</v>
      </c>
      <c r="E218" s="3" t="str">
        <f>"ED16B099"</f>
        <v>ED16B099</v>
      </c>
    </row>
    <row r="219" spans="1:5" x14ac:dyDescent="0.25">
      <c r="A219" s="3" t="str">
        <f>"349473"</f>
        <v>349473</v>
      </c>
      <c r="B219" s="3" t="str">
        <f>"81983777837"</f>
        <v>81983777837</v>
      </c>
      <c r="C219" t="str">
        <f>"EVERYDAY COUNTER-BIRTHDAY PKG/6-U0404"</f>
        <v>EVERYDAY COUNTER-BIRTHDAY PKG/6-U0404</v>
      </c>
      <c r="D219" s="3" t="str">
        <f>"U0404"</f>
        <v>U0404</v>
      </c>
      <c r="E219" s="3" t="str">
        <f>"ED16B100"</f>
        <v>ED16B100</v>
      </c>
    </row>
    <row r="220" spans="1:5" x14ac:dyDescent="0.25">
      <c r="A220" s="3" t="str">
        <f>"308281"</f>
        <v>308281</v>
      </c>
      <c r="B220" s="3" t="str">
        <f>"81983773075"</f>
        <v>81983773075</v>
      </c>
      <c r="C220" t="str">
        <f>"EVERYDAY COUNTER-BIRTHDAY FEMININE SMALL PKG/6-J0308"</f>
        <v>EVERYDAY COUNTER-BIRTHDAY FEMININE SMALL PKG/6-J0308</v>
      </c>
      <c r="D220" s="3" t="str">
        <f>"J0308"</f>
        <v>J0308</v>
      </c>
      <c r="E220" s="3" t="str">
        <f>"ED16B101"</f>
        <v>ED16B101</v>
      </c>
    </row>
    <row r="221" spans="1:5" x14ac:dyDescent="0.25">
      <c r="A221" s="3" t="str">
        <f>"279469"</f>
        <v>279469</v>
      </c>
      <c r="B221" s="3" t="str">
        <f>"81983738395"</f>
        <v>81983738395</v>
      </c>
      <c r="C221" t="str">
        <f>"EVERYDAY COUNTER-BIRTHDAY GEN FEM PKG/6-J5506"</f>
        <v>EVERYDAY COUNTER-BIRTHDAY GEN FEM PKG/6-J5506</v>
      </c>
      <c r="D221" s="3" t="str">
        <f>"J5506"</f>
        <v>J5506</v>
      </c>
      <c r="E221" s="3" t="str">
        <f>"ED16B102"</f>
        <v>ED16B102</v>
      </c>
    </row>
    <row r="222" spans="1:5" x14ac:dyDescent="0.25">
      <c r="A222" s="3" t="str">
        <f>"349498"</f>
        <v>349498</v>
      </c>
      <c r="B222" s="3" t="str">
        <f>"81983777653"</f>
        <v>81983777653</v>
      </c>
      <c r="C222" t="str">
        <f>"EVERYDAY COUNTER-BIRTHDAY PKG/6-U0386"</f>
        <v>EVERYDAY COUNTER-BIRTHDAY PKG/6-U0386</v>
      </c>
      <c r="D222" s="3" t="str">
        <f>"U0386"</f>
        <v>U0386</v>
      </c>
      <c r="E222" s="3" t="str">
        <f>"ED16B103"</f>
        <v>ED16B103</v>
      </c>
    </row>
    <row r="223" spans="1:5" x14ac:dyDescent="0.25">
      <c r="A223" s="3" t="str">
        <f>"349496"</f>
        <v>349496</v>
      </c>
      <c r="B223" s="3" t="str">
        <f>"81983777660"</f>
        <v>81983777660</v>
      </c>
      <c r="C223" t="str">
        <f>"EVERYDAY COUNTER-BIRTHDAY PKG/6-U0387"</f>
        <v>EVERYDAY COUNTER-BIRTHDAY PKG/6-U0387</v>
      </c>
      <c r="D223" s="3" t="str">
        <f>"U0387"</f>
        <v>U0387</v>
      </c>
      <c r="E223" s="3" t="str">
        <f>"ED16B104"</f>
        <v>ED16B104</v>
      </c>
    </row>
    <row r="224" spans="1:5" x14ac:dyDescent="0.25">
      <c r="A224" s="3" t="str">
        <f>"279682"</f>
        <v>279682</v>
      </c>
      <c r="B224" s="3" t="str">
        <f>"81983763748"</f>
        <v>81983763748</v>
      </c>
      <c r="C224" t="str">
        <f>"EVERYDAY COUNTER-BIRTHDAY BELATED PKG/6-J8985"</f>
        <v>EVERYDAY COUNTER-BIRTHDAY BELATED PKG/6-J8985</v>
      </c>
      <c r="D224" s="3" t="str">
        <f>"J8985"</f>
        <v>J8985</v>
      </c>
      <c r="E224" s="3" t="str">
        <f>"ED16B105"</f>
        <v>ED16B105</v>
      </c>
    </row>
    <row r="225" spans="1:5" x14ac:dyDescent="0.25">
      <c r="A225" s="3" t="str">
        <f>"345266"</f>
        <v>345266</v>
      </c>
      <c r="B225" s="3" t="str">
        <f>"81983793851"</f>
        <v>81983793851</v>
      </c>
      <c r="C225" t="str">
        <f>"EVERYDAY COUNTER-WEDDING PKG/6-U2601"</f>
        <v>EVERYDAY COUNTER-WEDDING PKG/6-U2601</v>
      </c>
      <c r="D225" s="3" t="str">
        <f>"U2601"</f>
        <v>U2601</v>
      </c>
      <c r="E225" s="3" t="str">
        <f>"ED16B106"</f>
        <v>ED16B106</v>
      </c>
    </row>
    <row r="226" spans="1:5" x14ac:dyDescent="0.25">
      <c r="A226" s="3" t="str">
        <f>"308479"</f>
        <v>308479</v>
      </c>
      <c r="B226" s="3" t="str">
        <f>"81983722172"</f>
        <v>81983722172</v>
      </c>
      <c r="C226" t="str">
        <f>"EVERYDAY COUNTER-WEDDING - BRIDAL SHOWER/A DREAM FULFILLED PKG/6-J3469"</f>
        <v>EVERYDAY COUNTER-WEDDING - BRIDAL SHOWER/A DREAM FULFILLED PKG/6-J3469</v>
      </c>
      <c r="D226" s="3" t="str">
        <f>"J3469"</f>
        <v>J3469</v>
      </c>
      <c r="E226" s="3" t="str">
        <f>"ED16B107"</f>
        <v>ED16B107</v>
      </c>
    </row>
    <row r="227" spans="1:5" x14ac:dyDescent="0.25">
      <c r="A227" s="3" t="str">
        <f>"308388"</f>
        <v>308388</v>
      </c>
      <c r="B227" s="3" t="str">
        <f>"81983773150"</f>
        <v>81983773150</v>
      </c>
      <c r="C227" t="str">
        <f>"EVERYDAY COUNTER-BIRTHDAY GENERAL FOR ANYONE PKG/6-J2722"</f>
        <v>EVERYDAY COUNTER-BIRTHDAY GENERAL FOR ANYONE PKG/6-J2722</v>
      </c>
      <c r="D227" s="3" t="str">
        <f>"J2722"</f>
        <v>J2722</v>
      </c>
      <c r="E227" s="3" t="str">
        <f>"ED16B108"</f>
        <v>ED16B108</v>
      </c>
    </row>
    <row r="228" spans="1:5" x14ac:dyDescent="0.25">
      <c r="A228" s="3" t="str">
        <f>"308381"</f>
        <v>308381</v>
      </c>
      <c r="B228" s="3" t="str">
        <f>"81983714900"</f>
        <v>81983714900</v>
      </c>
      <c r="C228" t="str">
        <f>"EVERYDAY COUNTER-BD GENERAL FEMININE PKG/6-J2716"</f>
        <v>EVERYDAY COUNTER-BD GENERAL FEMININE PKG/6-J2716</v>
      </c>
      <c r="D228" s="3" t="str">
        <f>"J2716"</f>
        <v>J2716</v>
      </c>
      <c r="E228" s="3" t="str">
        <f>"ED16B109"</f>
        <v>ED16B109</v>
      </c>
    </row>
    <row r="229" spans="1:5" x14ac:dyDescent="0.25">
      <c r="A229" s="3" t="str">
        <f>"349475"</f>
        <v>349475</v>
      </c>
      <c r="B229" s="3" t="str">
        <f>"81983777844"</f>
        <v>81983777844</v>
      </c>
      <c r="C229" t="str">
        <f>"EVERYDAY COUNTER-BIRTHDAY PKG/6-U0405"</f>
        <v>EVERYDAY COUNTER-BIRTHDAY PKG/6-U0405</v>
      </c>
      <c r="D229" s="3" t="str">
        <f>"U0405"</f>
        <v>U0405</v>
      </c>
      <c r="E229" s="3" t="str">
        <f>"ED16B110"</f>
        <v>ED16B110</v>
      </c>
    </row>
    <row r="230" spans="1:5" x14ac:dyDescent="0.25">
      <c r="A230" s="3" t="str">
        <f>"279467"</f>
        <v>279467</v>
      </c>
      <c r="B230" s="3" t="str">
        <f>"81983738371"</f>
        <v>81983738371</v>
      </c>
      <c r="C230" t="str">
        <f>"EVERYDAY COUNTER-BIRTHDAY GEN FEM PKG/6-J5504"</f>
        <v>EVERYDAY COUNTER-BIRTHDAY GEN FEM PKG/6-J5504</v>
      </c>
      <c r="D230" s="3" t="str">
        <f>"J5504"</f>
        <v>J5504</v>
      </c>
      <c r="E230" s="3" t="str">
        <f>"ED16B111"</f>
        <v>ED16B111</v>
      </c>
    </row>
    <row r="231" spans="1:5" x14ac:dyDescent="0.25">
      <c r="A231" s="3" t="str">
        <f>"349500"</f>
        <v>349500</v>
      </c>
      <c r="B231" s="3" t="str">
        <f>"81983777677"</f>
        <v>81983777677</v>
      </c>
      <c r="C231" t="str">
        <f>"EVERYDAY COUNTER-BIRTHDAY PKG/6-U0388"</f>
        <v>EVERYDAY COUNTER-BIRTHDAY PKG/6-U0388</v>
      </c>
      <c r="D231" s="3" t="str">
        <f>"U0388"</f>
        <v>U0388</v>
      </c>
      <c r="E231" s="3" t="str">
        <f>"ED16B112"</f>
        <v>ED16B112</v>
      </c>
    </row>
    <row r="232" spans="1:5" x14ac:dyDescent="0.25">
      <c r="A232" s="3" t="str">
        <f>"349499"</f>
        <v>349499</v>
      </c>
      <c r="B232" s="3" t="str">
        <f>"81983777684"</f>
        <v>81983777684</v>
      </c>
      <c r="C232" t="str">
        <f>"EVERYDAY COUNTER-BIRTHDAY PKG/6-U0389"</f>
        <v>EVERYDAY COUNTER-BIRTHDAY PKG/6-U0389</v>
      </c>
      <c r="D232" s="3" t="str">
        <f>"U0389"</f>
        <v>U0389</v>
      </c>
      <c r="E232" s="3" t="str">
        <f>"ED16B113"</f>
        <v>ED16B113</v>
      </c>
    </row>
    <row r="233" spans="1:5" x14ac:dyDescent="0.25">
      <c r="A233" s="3" t="str">
        <f>"279681"</f>
        <v>279681</v>
      </c>
      <c r="B233" s="3" t="str">
        <f>"81983763731"</f>
        <v>81983763731</v>
      </c>
      <c r="C233" t="str">
        <f>"EVERYDAY COUNTER-BIRTHDAY BELATED PKG/6-J8984"</f>
        <v>EVERYDAY COUNTER-BIRTHDAY BELATED PKG/6-J8984</v>
      </c>
      <c r="D233" s="3" t="str">
        <f>"J8984"</f>
        <v>J8984</v>
      </c>
      <c r="E233" s="3" t="str">
        <f>"ED16B114"</f>
        <v>ED16B114</v>
      </c>
    </row>
    <row r="234" spans="1:5" x14ac:dyDescent="0.25">
      <c r="A234" s="3" t="str">
        <f>"308263"</f>
        <v>308263</v>
      </c>
      <c r="B234" s="3" t="str">
        <f>"81983679100"</f>
        <v>81983679100</v>
      </c>
      <c r="C234" t="str">
        <f>"EVERYDAY COUNTER-WEDDING PKG/6-92327"</f>
        <v>EVERYDAY COUNTER-WEDDING PKG/6-92327</v>
      </c>
      <c r="D234" s="3" t="str">
        <f>"92327"</f>
        <v>92327</v>
      </c>
      <c r="E234" s="3" t="str">
        <f>"ED16B115"</f>
        <v>ED16B115</v>
      </c>
    </row>
    <row r="235" spans="1:5" x14ac:dyDescent="0.25">
      <c r="A235" s="3" t="str">
        <f>"279646"</f>
        <v>279646</v>
      </c>
      <c r="B235" s="3" t="str">
        <f>"81983774720"</f>
        <v>81983774720</v>
      </c>
      <c r="C235" t="str">
        <f>"EVERYDAY COUNTER-WEDDING - SHOWER PKG/6-J8233"</f>
        <v>EVERYDAY COUNTER-WEDDING - SHOWER PKG/6-J8233</v>
      </c>
      <c r="D235" s="3" t="str">
        <f>"J8233"</f>
        <v>J8233</v>
      </c>
      <c r="E235" s="3" t="str">
        <f>"ED16B116"</f>
        <v>ED16B116</v>
      </c>
    </row>
    <row r="236" spans="1:5" x14ac:dyDescent="0.25">
      <c r="A236" s="3" t="str">
        <f>"308437"</f>
        <v>308437</v>
      </c>
      <c r="B236" s="3" t="str">
        <f>"81983721618"</f>
        <v>81983721618</v>
      </c>
      <c r="C236" t="str">
        <f>"EVERYDAY COUNTER-WIFE ANNIVERSARY/PINK WITH FLOWERS PKG/6-J3413"</f>
        <v>EVERYDAY COUNTER-WIFE ANNIVERSARY/PINK WITH FLOWERS PKG/6-J3413</v>
      </c>
      <c r="D236" s="3" t="str">
        <f>"J3413"</f>
        <v>J3413</v>
      </c>
      <c r="E236" s="3" t="str">
        <f>"ED16C001"</f>
        <v>ED16C001</v>
      </c>
    </row>
    <row r="237" spans="1:5" x14ac:dyDescent="0.25">
      <c r="A237" s="3" t="str">
        <f>"308137"</f>
        <v>308137</v>
      </c>
      <c r="B237" s="3" t="str">
        <f>"81983678653"</f>
        <v>81983678653</v>
      </c>
      <c r="C237" t="str">
        <f>"EVERYDAY COUNTER-ANNIVERSARY-WIFE/PARTNER &amp; FRIEND PKG/6-79256"</f>
        <v>EVERYDAY COUNTER-ANNIVERSARY-WIFE/PARTNER &amp; FRIEND PKG/6-79256</v>
      </c>
      <c r="D237" s="3" t="str">
        <f>"79256"</f>
        <v>79256</v>
      </c>
      <c r="E237" s="3" t="str">
        <f>"ED16C002"</f>
        <v>ED16C002</v>
      </c>
    </row>
    <row r="238" spans="1:5" x14ac:dyDescent="0.25">
      <c r="A238" s="3" t="str">
        <f>"308159"</f>
        <v>308159</v>
      </c>
      <c r="B238" s="3" t="str">
        <f>"81983772276"</f>
        <v>81983772276</v>
      </c>
      <c r="C238" t="str">
        <f>"EVERYDAY COUNTER-THANK YOU - FOR ANYONE-J9939"</f>
        <v>EVERYDAY COUNTER-THANK YOU - FOR ANYONE-J9939</v>
      </c>
      <c r="D238" s="3" t="str">
        <f>"J9939"</f>
        <v>J9939</v>
      </c>
      <c r="E238" s="3" t="str">
        <f>"ED16C003"</f>
        <v>ED16C003</v>
      </c>
    </row>
    <row r="239" spans="1:5" x14ac:dyDescent="0.25">
      <c r="A239" s="3" t="str">
        <f>"374842"</f>
        <v>374842</v>
      </c>
      <c r="B239" s="3" t="str">
        <f>"081983789069"</f>
        <v>081983789069</v>
      </c>
      <c r="C239" t="str">
        <f>"EVERYDAY COUNTER-CONGRATULATIONS-PREMIUM PKG/2"</f>
        <v>EVERYDAY COUNTER-CONGRATULATIONS-PREMIUM PKG/2</v>
      </c>
      <c r="D239" s="3" t="str">
        <f>"U1992"</f>
        <v>U1992</v>
      </c>
      <c r="E239" s="3" t="str">
        <f>"ED16C004"</f>
        <v>ED16C004</v>
      </c>
    </row>
    <row r="240" spans="1:5" x14ac:dyDescent="0.25">
      <c r="A240" s="3" t="str">
        <f>"345230"</f>
        <v>345230</v>
      </c>
      <c r="B240" s="3" t="str">
        <f>"81983789052"</f>
        <v>81983789052</v>
      </c>
      <c r="C240" t="str">
        <f>"EVERYDAY COUNTER-CONGRATULATIONS-PREMIUM PKG/2"</f>
        <v>EVERYDAY COUNTER-CONGRATULATIONS-PREMIUM PKG/2</v>
      </c>
      <c r="D240" s="3" t="str">
        <f>"U1991"</f>
        <v>U1991</v>
      </c>
      <c r="E240" s="3" t="str">
        <f>"ED16C005"</f>
        <v>ED16C005</v>
      </c>
    </row>
    <row r="241" spans="1:5" x14ac:dyDescent="0.25">
      <c r="A241" s="3" t="str">
        <f>"298760"</f>
        <v>298760</v>
      </c>
      <c r="B241" s="3" t="str">
        <f>"81983771750"</f>
        <v>81983771750</v>
      </c>
      <c r="C241" t="str">
        <f>"EVERYDAY COUNTER-BABY CONGRATS-GIRL PKG/6-J9887"</f>
        <v>EVERYDAY COUNTER-BABY CONGRATS-GIRL PKG/6-J9887</v>
      </c>
      <c r="D241" s="3" t="str">
        <f>"J9887"</f>
        <v>J9887</v>
      </c>
      <c r="E241" s="3" t="str">
        <f>"ED16C006"</f>
        <v>ED16C006</v>
      </c>
    </row>
    <row r="242" spans="1:5" x14ac:dyDescent="0.25">
      <c r="A242" s="3" t="str">
        <f>"308244"</f>
        <v>308244</v>
      </c>
      <c r="B242" s="3" t="str">
        <f>"81983678882"</f>
        <v>81983678882</v>
      </c>
      <c r="C242" t="str">
        <f>"EVERYDAY COUNTER-BAPTISM PKG/6-92185"</f>
        <v>EVERYDAY COUNTER-BAPTISM PKG/6-92185</v>
      </c>
      <c r="D242" s="3" t="str">
        <f>"92185"</f>
        <v>92185</v>
      </c>
      <c r="E242" s="3" t="str">
        <f>"ED16C007"</f>
        <v>ED16C007</v>
      </c>
    </row>
    <row r="243" spans="1:5" x14ac:dyDescent="0.25">
      <c r="A243" s="3" t="str">
        <f>"308038"</f>
        <v>308038</v>
      </c>
      <c r="B243" s="3" t="str">
        <f>"81983643033"</f>
        <v>81983643033</v>
      </c>
      <c r="C243" t="str">
        <f>"EVERYDAY COUNTER-FRIENDSHIP-72708"</f>
        <v>EVERYDAY COUNTER-FRIENDSHIP-72708</v>
      </c>
      <c r="D243" s="3" t="str">
        <f>"72708"</f>
        <v>72708</v>
      </c>
      <c r="E243" s="3" t="str">
        <f>"ED16C008"</f>
        <v>ED16C008</v>
      </c>
    </row>
    <row r="244" spans="1:5" x14ac:dyDescent="0.25">
      <c r="A244" s="3" t="str">
        <f>"298724"</f>
        <v>298724</v>
      </c>
      <c r="B244" s="3" t="str">
        <f>"81983772948"</f>
        <v>81983772948</v>
      </c>
      <c r="C244" t="str">
        <f>"EVERYDAY COUNTER-ANNIVERSARY-WIFE PKG/6-11518"</f>
        <v>EVERYDAY COUNTER-ANNIVERSARY-WIFE PKG/6-11518</v>
      </c>
      <c r="D244" s="3" t="str">
        <f>"11518"</f>
        <v>11518</v>
      </c>
      <c r="E244" s="3" t="str">
        <f>"ED16C009"</f>
        <v>ED16C009</v>
      </c>
    </row>
    <row r="245" spans="1:5" x14ac:dyDescent="0.25">
      <c r="A245" s="3" t="str">
        <f>"279572"</f>
        <v>279572</v>
      </c>
      <c r="B245" s="3" t="str">
        <f>"81983757259"</f>
        <v>81983757259</v>
      </c>
      <c r="C245" t="str">
        <f>"EVERYDAY COUNTER-ANNIVERSARY-WIFE PKG/6-J8173"</f>
        <v>EVERYDAY COUNTER-ANNIVERSARY-WIFE PKG/6-J8173</v>
      </c>
      <c r="D245" s="3" t="str">
        <f>"J8173"</f>
        <v>J8173</v>
      </c>
      <c r="E245" s="3" t="str">
        <f>"ED16C010"</f>
        <v>ED16C010</v>
      </c>
    </row>
    <row r="246" spans="1:5" x14ac:dyDescent="0.25">
      <c r="A246" s="3" t="str">
        <f>"308158"</f>
        <v>308158</v>
      </c>
      <c r="B246" s="3" t="str">
        <f>"81983772283"</f>
        <v>81983772283</v>
      </c>
      <c r="C246" t="str">
        <f>"EVERYDAY COUNTER-THANK YOU - FOR ANYONE-J9940"</f>
        <v>EVERYDAY COUNTER-THANK YOU - FOR ANYONE-J9940</v>
      </c>
      <c r="D246" s="3" t="str">
        <f>"J9940"</f>
        <v>J9940</v>
      </c>
      <c r="E246" s="3" t="str">
        <f>"ED16C011"</f>
        <v>ED16C011</v>
      </c>
    </row>
    <row r="247" spans="1:5" x14ac:dyDescent="0.25">
      <c r="A247" s="3" t="str">
        <f>"345273"</f>
        <v>345273</v>
      </c>
      <c r="B247" s="3" t="str">
        <f>"81983794605"</f>
        <v>81983794605</v>
      </c>
      <c r="C247" t="str">
        <f>"EVERYDAY COUNTER-CONGRATULATIONS GRADUATE PKG/6"</f>
        <v>EVERYDAY COUNTER-CONGRATULATIONS GRADUATE PKG/6</v>
      </c>
      <c r="D247" s="3" t="str">
        <f>"U2679"</f>
        <v>U2679</v>
      </c>
      <c r="E247" s="3" t="str">
        <f>"ED16C012"</f>
        <v>ED16C012</v>
      </c>
    </row>
    <row r="248" spans="1:5" x14ac:dyDescent="0.25">
      <c r="A248" s="3" t="str">
        <f>"345228"</f>
        <v>345228</v>
      </c>
      <c r="B248" s="3" t="str">
        <f>"81983789045"</f>
        <v>81983789045</v>
      </c>
      <c r="C248" t="str">
        <f>"EVERYDAY COUNTER-CONGRATULATIONS-PREMIUM PKG/2"</f>
        <v>EVERYDAY COUNTER-CONGRATULATIONS-PREMIUM PKG/2</v>
      </c>
      <c r="D248" s="3" t="str">
        <f>"U1990"</f>
        <v>U1990</v>
      </c>
      <c r="E248" s="3" t="str">
        <f>"ED16C013"</f>
        <v>ED16C013</v>
      </c>
    </row>
    <row r="249" spans="1:5" x14ac:dyDescent="0.25">
      <c r="A249" s="3" t="str">
        <f>"308007"</f>
        <v>308007</v>
      </c>
      <c r="B249" s="3" t="str">
        <f>"81983619038"</f>
        <v>81983619038</v>
      </c>
      <c r="C249" t="str">
        <f>"EVERYDAY COUNTER-CONGRATS-BABY GIRL-55908"</f>
        <v>EVERYDAY COUNTER-CONGRATS-BABY GIRL-55908</v>
      </c>
      <c r="D249" s="3" t="str">
        <f>"55908"</f>
        <v>55908</v>
      </c>
      <c r="E249" s="3" t="str">
        <f>"ED16C014"</f>
        <v>ED16C014</v>
      </c>
    </row>
    <row r="250" spans="1:5" x14ac:dyDescent="0.25">
      <c r="A250" s="3" t="str">
        <f>"298700"</f>
        <v>298700</v>
      </c>
      <c r="B250" s="3" t="str">
        <f>"81983652356"</f>
        <v>81983652356</v>
      </c>
      <c r="C250" t="str">
        <f>"EVERYDAY COUNTER-BAPTISM ADULT PKG/6-10278"</f>
        <v>EVERYDAY COUNTER-BAPTISM ADULT PKG/6-10278</v>
      </c>
      <c r="D250" s="3" t="str">
        <f>"10278"</f>
        <v>10278</v>
      </c>
      <c r="E250" s="3" t="str">
        <f>"ED16C015"</f>
        <v>ED16C015</v>
      </c>
    </row>
    <row r="251" spans="1:5" x14ac:dyDescent="0.25">
      <c r="A251" s="3" t="str">
        <f>"279591"</f>
        <v>279591</v>
      </c>
      <c r="B251" s="3" t="str">
        <f>"81983757426"</f>
        <v>81983757426</v>
      </c>
      <c r="C251" t="str">
        <f>"EVERYDAY COUNTER-FRIENDSHIP PKG/6-J8190"</f>
        <v>EVERYDAY COUNTER-FRIENDSHIP PKG/6-J8190</v>
      </c>
      <c r="D251" s="3" t="str">
        <f>"J8190"</f>
        <v>J8190</v>
      </c>
      <c r="E251" s="3" t="str">
        <f>"ED16C016"</f>
        <v>ED16C016</v>
      </c>
    </row>
    <row r="252" spans="1:5" x14ac:dyDescent="0.25">
      <c r="A252" s="3" t="str">
        <f>"345236"</f>
        <v>345236</v>
      </c>
      <c r="B252" s="3" t="str">
        <f>"81983793608"</f>
        <v>81983793608</v>
      </c>
      <c r="C252" t="str">
        <f>"EVERYDAY COUNTER-ANNIVERSARY PKG/6-U2576"</f>
        <v>EVERYDAY COUNTER-ANNIVERSARY PKG/6-U2576</v>
      </c>
      <c r="D252" s="3" t="str">
        <f>"U2576"</f>
        <v>U2576</v>
      </c>
      <c r="E252" s="3" t="str">
        <f>"ED16C017"</f>
        <v>ED16C017</v>
      </c>
    </row>
    <row r="253" spans="1:5" x14ac:dyDescent="0.25">
      <c r="A253" s="3" t="str">
        <f>"345235"</f>
        <v>345235</v>
      </c>
      <c r="B253" s="3" t="str">
        <f>"81983793592"</f>
        <v>81983793592</v>
      </c>
      <c r="C253" t="str">
        <f>"EVERYDAY COUNTER-ANNIVERSARY PKG/6-U2575"</f>
        <v>EVERYDAY COUNTER-ANNIVERSARY PKG/6-U2575</v>
      </c>
      <c r="D253" s="3" t="str">
        <f>"U2575"</f>
        <v>U2575</v>
      </c>
      <c r="E253" s="3" t="str">
        <f>"ED16C018"</f>
        <v>ED16C018</v>
      </c>
    </row>
    <row r="254" spans="1:5" x14ac:dyDescent="0.25">
      <c r="A254" s="3" t="str">
        <f>"308144"</f>
        <v>308144</v>
      </c>
      <c r="B254" s="3" t="str">
        <f>"81983584664"</f>
        <v>81983584664</v>
      </c>
      <c r="C254" t="str">
        <f>"EVERYDAY COUNTER-THANK YOU-82374"</f>
        <v>EVERYDAY COUNTER-THANK YOU-82374</v>
      </c>
      <c r="D254" s="3" t="str">
        <f>"82374"</f>
        <v>82374</v>
      </c>
      <c r="E254" s="3" t="str">
        <f>"ED16C019"</f>
        <v>ED16C019</v>
      </c>
    </row>
    <row r="255" spans="1:5" x14ac:dyDescent="0.25">
      <c r="A255" s="3" t="str">
        <f>"345272"</f>
        <v>345272</v>
      </c>
      <c r="B255" s="3" t="str">
        <f>"81983794599"</f>
        <v>81983794599</v>
      </c>
      <c r="C255" t="str">
        <f>"EVERYDAY COUNTER-CONGRATULATIONS GRADUATE PKG/6"</f>
        <v>EVERYDAY COUNTER-CONGRATULATIONS GRADUATE PKG/6</v>
      </c>
      <c r="D255" s="3" t="str">
        <f>"U2678"</f>
        <v>U2678</v>
      </c>
      <c r="E255" s="3" t="str">
        <f>"ED16C020"</f>
        <v>ED16C020</v>
      </c>
    </row>
    <row r="256" spans="1:5" x14ac:dyDescent="0.25">
      <c r="A256" s="3" t="str">
        <f>"345271"</f>
        <v>345271</v>
      </c>
      <c r="B256" s="3" t="str">
        <f>"81983794582"</f>
        <v>81983794582</v>
      </c>
      <c r="C256" t="str">
        <f>"EVERYDAY COUNTER-CONGRATULATIONS/BABY SHOWER PKG/6"</f>
        <v>EVERYDAY COUNTER-CONGRATULATIONS/BABY SHOWER PKG/6</v>
      </c>
      <c r="D256" s="3" t="str">
        <f>"U2677"</f>
        <v>U2677</v>
      </c>
      <c r="E256" s="3" t="str">
        <f>"ED16C021"</f>
        <v>ED16C021</v>
      </c>
    </row>
    <row r="257" spans="1:5" x14ac:dyDescent="0.25">
      <c r="A257" s="3" t="str">
        <f>"279576"</f>
        <v>279576</v>
      </c>
      <c r="B257" s="3" t="str">
        <f>"81983757297"</f>
        <v>81983757297</v>
      </c>
      <c r="C257" t="str">
        <f>"EVERYDAY COUNTER-BABY CONGRATS GIRL PKG/6-J8177"</f>
        <v>EVERYDAY COUNTER-BABY CONGRATS GIRL PKG/6-J8177</v>
      </c>
      <c r="D257" s="3" t="str">
        <f>"J8177"</f>
        <v>J8177</v>
      </c>
      <c r="E257" s="3" t="str">
        <f>"ED16C022"</f>
        <v>ED16C022</v>
      </c>
    </row>
    <row r="258" spans="1:5" x14ac:dyDescent="0.25">
      <c r="A258" s="3" t="str">
        <f>"345255"</f>
        <v>345255</v>
      </c>
      <c r="B258" s="3" t="str">
        <f>"81983793769"</f>
        <v>81983793769</v>
      </c>
      <c r="C258" t="str">
        <f>"EVERYDAY COUNTER-BAPTISM ADULT PKG/6"</f>
        <v>EVERYDAY COUNTER-BAPTISM ADULT PKG/6</v>
      </c>
      <c r="D258" s="3" t="str">
        <f>"U2592"</f>
        <v>U2592</v>
      </c>
      <c r="E258" s="3" t="str">
        <f>"ED16C023"</f>
        <v>ED16C023</v>
      </c>
    </row>
    <row r="259" spans="1:5" x14ac:dyDescent="0.25">
      <c r="A259" s="3" t="str">
        <f>"307910"</f>
        <v>307910</v>
      </c>
      <c r="B259" s="3" t="str">
        <f>"81983771972"</f>
        <v>81983771972</v>
      </c>
      <c r="C259" t="str">
        <f>"EVERYDAY COUNTER-FRIENDSHIP-FOR ANYONE-J9909"</f>
        <v>EVERYDAY COUNTER-FRIENDSHIP-FOR ANYONE-J9909</v>
      </c>
      <c r="D259" s="3" t="str">
        <f>"J9909"</f>
        <v>J9909</v>
      </c>
      <c r="E259" s="3" t="str">
        <f>"ED16C024"</f>
        <v>ED16C024</v>
      </c>
    </row>
    <row r="260" spans="1:5" x14ac:dyDescent="0.25">
      <c r="A260" s="3" t="str">
        <f>"298728"</f>
        <v>298728</v>
      </c>
      <c r="B260" s="3" t="str">
        <f>"81983771736"</f>
        <v>81983771736</v>
      </c>
      <c r="C260" t="str">
        <f>"EVERYDAY COUNTER-ANNIVERSARY-WIFE PKG/6-J9885"</f>
        <v>EVERYDAY COUNTER-ANNIVERSARY-WIFE PKG/6-J9885</v>
      </c>
      <c r="D260" s="3" t="str">
        <f>"J9885"</f>
        <v>J9885</v>
      </c>
      <c r="E260" s="3" t="str">
        <f>"ED16C025"</f>
        <v>ED16C025</v>
      </c>
    </row>
    <row r="261" spans="1:5" x14ac:dyDescent="0.25">
      <c r="A261" s="3" t="str">
        <f>"308197"</f>
        <v>308197</v>
      </c>
      <c r="B261" s="3" t="str">
        <f>"81983677083"</f>
        <v>81983677083</v>
      </c>
      <c r="C261" t="str">
        <f>"EVERYDAY COUNTER-ANNIVERSARY FOR ANYONE PKG/6-91972"</f>
        <v>EVERYDAY COUNTER-ANNIVERSARY FOR ANYONE PKG/6-91972</v>
      </c>
      <c r="D261" s="3" t="str">
        <f>"91972"</f>
        <v>91972</v>
      </c>
      <c r="E261" s="3" t="str">
        <f>"ED16C026"</f>
        <v>ED16C026</v>
      </c>
    </row>
    <row r="262" spans="1:5" x14ac:dyDescent="0.25">
      <c r="A262" s="3" t="str">
        <f>"308465"</f>
        <v>308465</v>
      </c>
      <c r="B262" s="3" t="str">
        <f>"81983721977"</f>
        <v>81983721977</v>
      </c>
      <c r="C262" t="str">
        <f>"EVERYDAY COUNTER-THANK YOU/CONFETTI SHOWERS PKG/6-J3449"</f>
        <v>EVERYDAY COUNTER-THANK YOU/CONFETTI SHOWERS PKG/6-J3449</v>
      </c>
      <c r="D262" s="3" t="str">
        <f>"J3449"</f>
        <v>J3449</v>
      </c>
      <c r="E262" s="3" t="str">
        <f>"ED16C027"</f>
        <v>ED16C027</v>
      </c>
    </row>
    <row r="263" spans="1:5" x14ac:dyDescent="0.25">
      <c r="A263" s="3" t="str">
        <f>"345227"</f>
        <v>345227</v>
      </c>
      <c r="B263" s="3" t="str">
        <f>"81983789038"</f>
        <v>81983789038</v>
      </c>
      <c r="C263" t="str">
        <f>"EVERYDAY COUNTER-BABY CONGRATS-PREMIUM PKG/2"</f>
        <v>EVERYDAY COUNTER-BABY CONGRATS-PREMIUM PKG/2</v>
      </c>
      <c r="D263" s="3" t="str">
        <f>"U1989"</f>
        <v>U1989</v>
      </c>
      <c r="E263" s="3" t="str">
        <f>"ED16C028"</f>
        <v>ED16C028</v>
      </c>
    </row>
    <row r="264" spans="1:5" x14ac:dyDescent="0.25">
      <c r="A264" s="3" t="str">
        <f>"345270"</f>
        <v>345270</v>
      </c>
      <c r="B264" s="3" t="str">
        <f>"81983794575"</f>
        <v>81983794575</v>
      </c>
      <c r="C264" t="str">
        <f>"EVERYDAY COUNTER-CONGRATULATIONS BABY PKG/6"</f>
        <v>EVERYDAY COUNTER-CONGRATULATIONS BABY PKG/6</v>
      </c>
      <c r="D264" s="3" t="str">
        <f>"U2676"</f>
        <v>U2676</v>
      </c>
      <c r="E264" s="3" t="str">
        <f>"ED16C029"</f>
        <v>ED16C029</v>
      </c>
    </row>
    <row r="265" spans="1:5" x14ac:dyDescent="0.25">
      <c r="A265" s="3" t="str">
        <f>"308083"</f>
        <v>308083</v>
      </c>
      <c r="B265" s="3" t="str">
        <f>"81983567612"</f>
        <v>81983567612</v>
      </c>
      <c r="C265" t="str">
        <f>"EVERYDAY COUNTER-BABY CONGRATS GIRL PKG/6-75238"</f>
        <v>EVERYDAY COUNTER-BABY CONGRATS GIRL PKG/6-75238</v>
      </c>
      <c r="D265" s="3" t="str">
        <f>"75238"</f>
        <v>75238</v>
      </c>
      <c r="E265" s="3" t="str">
        <f>"ED16C030"</f>
        <v>ED16C030</v>
      </c>
    </row>
    <row r="266" spans="1:5" x14ac:dyDescent="0.25">
      <c r="A266" s="3" t="str">
        <f>"279609"</f>
        <v>279609</v>
      </c>
      <c r="B266" s="3" t="str">
        <f>"81983757556"</f>
        <v>81983757556</v>
      </c>
      <c r="C266" t="str">
        <f>"EVERYDAY COUNTER-SPIRITUAL OCC BAPTISM ADULT PKG/6-J8203"</f>
        <v>EVERYDAY COUNTER-SPIRITUAL OCC BAPTISM ADULT PKG/6-J8203</v>
      </c>
      <c r="D266" s="3" t="str">
        <f>"J8203"</f>
        <v>J8203</v>
      </c>
      <c r="E266" s="3" t="str">
        <f>"ED16C031"</f>
        <v>ED16C031</v>
      </c>
    </row>
    <row r="267" spans="1:5" x14ac:dyDescent="0.25">
      <c r="A267" s="3" t="str">
        <f>"308213"</f>
        <v>308213</v>
      </c>
      <c r="B267" s="3" t="str">
        <f>"81983677359"</f>
        <v>81983677359</v>
      </c>
      <c r="C267" t="str">
        <f>"EVERYDAY COUNTER-FRIENDSHIP PKG/6-91992"</f>
        <v>EVERYDAY COUNTER-FRIENDSHIP PKG/6-91992</v>
      </c>
      <c r="D267" s="3" t="str">
        <f>"91992"</f>
        <v>91992</v>
      </c>
      <c r="E267" s="3" t="str">
        <f>"ED16C032"</f>
        <v>ED16C032</v>
      </c>
    </row>
    <row r="268" spans="1:5" x14ac:dyDescent="0.25">
      <c r="A268" s="3" t="str">
        <f>"298678"</f>
        <v>298678</v>
      </c>
      <c r="B268" s="3" t="str">
        <f>"81983772726"</f>
        <v>81983772726</v>
      </c>
      <c r="C268" t="str">
        <f>"EVERYDAY COUNTER-ANNIVERSARY 50TH PKG/6 -10248"</f>
        <v>EVERYDAY COUNTER-ANNIVERSARY 50TH PKG/6 -10248</v>
      </c>
      <c r="D268" s="3" t="str">
        <f>"10248"</f>
        <v>10248</v>
      </c>
      <c r="E268" s="3" t="str">
        <f>"ED16C033"</f>
        <v>ED16C033</v>
      </c>
    </row>
    <row r="269" spans="1:5" x14ac:dyDescent="0.25">
      <c r="A269" s="3" t="str">
        <f>"298708"</f>
        <v>298708</v>
      </c>
      <c r="B269" s="3" t="str">
        <f>"81983652509"</f>
        <v>81983652509</v>
      </c>
      <c r="C269" t="str">
        <f>"EVERYDAY COUNTER-ANNIVERSARY COUPLE PKG/6-10288"</f>
        <v>EVERYDAY COUNTER-ANNIVERSARY COUPLE PKG/6-10288</v>
      </c>
      <c r="D269" s="3" t="str">
        <f>"10288"</f>
        <v>10288</v>
      </c>
      <c r="E269" s="3" t="str">
        <f>"ED16C034"</f>
        <v>ED16C034</v>
      </c>
    </row>
    <row r="270" spans="1:5" x14ac:dyDescent="0.25">
      <c r="A270" s="3" t="str">
        <f>"308152"</f>
        <v>308152</v>
      </c>
      <c r="B270" s="3" t="str">
        <f>"81983772313"</f>
        <v>81983772313</v>
      </c>
      <c r="C270" t="str">
        <f>"EVERYDAY COUNTER-THANK YOU - FOR ANYONE-J9943"</f>
        <v>EVERYDAY COUNTER-THANK YOU - FOR ANYONE-J9943</v>
      </c>
      <c r="D270" s="3" t="str">
        <f>"J9943"</f>
        <v>J9943</v>
      </c>
      <c r="E270" s="3" t="str">
        <f>"ED16C035"</f>
        <v>ED16C035</v>
      </c>
    </row>
    <row r="271" spans="1:5" x14ac:dyDescent="0.25">
      <c r="A271" s="3" t="str">
        <f>"298702"</f>
        <v>298702</v>
      </c>
      <c r="B271" s="3" t="str">
        <f>"81983652417"</f>
        <v>81983652417</v>
      </c>
      <c r="C271" t="str">
        <f>"EVERYDAY COUNTER-THANK YOU CLERGY PKG/6-10280"</f>
        <v>EVERYDAY COUNTER-THANK YOU CLERGY PKG/6-10280</v>
      </c>
      <c r="D271" s="3" t="str">
        <f>"10280"</f>
        <v>10280</v>
      </c>
      <c r="E271" s="3" t="str">
        <f>"ED16C036"</f>
        <v>ED16C036</v>
      </c>
    </row>
    <row r="272" spans="1:5" x14ac:dyDescent="0.25">
      <c r="A272" s="3" t="str">
        <f>"308478"</f>
        <v>308478</v>
      </c>
      <c r="B272" s="3" t="str">
        <f>"81983722165"</f>
        <v>81983722165</v>
      </c>
      <c r="C272" t="str">
        <f>"EVERYDAY COUNTER-MINISTRY APPRECIATION/OPEN HANDS PKG/6-J3468"</f>
        <v>EVERYDAY COUNTER-MINISTRY APPRECIATION/OPEN HANDS PKG/6-J3468</v>
      </c>
      <c r="D272" s="3" t="str">
        <f>"J3468"</f>
        <v>J3468</v>
      </c>
      <c r="E272" s="3" t="str">
        <f>"ED16C037"</f>
        <v>ED16C037</v>
      </c>
    </row>
    <row r="273" spans="1:5" x14ac:dyDescent="0.25">
      <c r="A273" s="3" t="str">
        <f>"298771"</f>
        <v>298771</v>
      </c>
      <c r="B273" s="3" t="str">
        <f>"81983771743"</f>
        <v>81983771743</v>
      </c>
      <c r="C273" t="str">
        <f>"EVERYDAY COUNTER-BABY CONGRATS-BOY PKG/6-J9886"</f>
        <v>EVERYDAY COUNTER-BABY CONGRATS-BOY PKG/6-J9886</v>
      </c>
      <c r="D273" s="3" t="str">
        <f>"J9886"</f>
        <v>J9886</v>
      </c>
      <c r="E273" s="3" t="str">
        <f>"ED16C038"</f>
        <v>ED16C038</v>
      </c>
    </row>
    <row r="274" spans="1:5" x14ac:dyDescent="0.25">
      <c r="A274" s="3" t="str">
        <f>"279611"</f>
        <v>279611</v>
      </c>
      <c r="B274" s="3" t="str">
        <f>"81983774300"</f>
        <v>81983774300</v>
      </c>
      <c r="C274" t="str">
        <f>"EVERYDAY COUNTER-SPIRIT OCC-BAPTISM YOUTH PKG/6-J8205"</f>
        <v>EVERYDAY COUNTER-SPIRIT OCC-BAPTISM YOUTH PKG/6-J8205</v>
      </c>
      <c r="D274" s="3" t="str">
        <f>"J8205"</f>
        <v>J8205</v>
      </c>
      <c r="E274" s="3" t="str">
        <f>"ED16C039"</f>
        <v>ED16C039</v>
      </c>
    </row>
    <row r="275" spans="1:5" x14ac:dyDescent="0.25">
      <c r="A275" s="3" t="str">
        <f>"298765"</f>
        <v>298765</v>
      </c>
      <c r="B275" s="3" t="str">
        <f>"81983771989"</f>
        <v>81983771989</v>
      </c>
      <c r="C275" t="str">
        <f>"EVERYDAY COUNTER-FRIENDSHIP-TOY-J9910"</f>
        <v>EVERYDAY COUNTER-FRIENDSHIP-TOY-J9910</v>
      </c>
      <c r="D275" s="3" t="str">
        <f>"J9910"</f>
        <v>J9910</v>
      </c>
      <c r="E275" s="3" t="str">
        <f>"ED16C040"</f>
        <v>ED16C040</v>
      </c>
    </row>
    <row r="276" spans="1:5" x14ac:dyDescent="0.25">
      <c r="A276" s="3" t="str">
        <f>"308434"</f>
        <v>308434</v>
      </c>
      <c r="B276" s="3" t="str">
        <f>"81983721540"</f>
        <v>81983721540</v>
      </c>
      <c r="C276" t="str">
        <f>"EVERYDAY COUNTER-ANNIVERSARY/WARM CONGRATS ON YOUR 50TH PKG/6-J3406"</f>
        <v>EVERYDAY COUNTER-ANNIVERSARY/WARM CONGRATS ON YOUR 50TH PKG/6-J3406</v>
      </c>
      <c r="D276" s="3" t="str">
        <f>"J3406"</f>
        <v>J3406</v>
      </c>
      <c r="E276" s="3" t="str">
        <f>"ED16C041"</f>
        <v>ED16C041</v>
      </c>
    </row>
    <row r="277" spans="1:5" x14ac:dyDescent="0.25">
      <c r="A277" s="3" t="str">
        <f>"279561"</f>
        <v>279561</v>
      </c>
      <c r="B277" s="3" t="str">
        <f>"81983772764"</f>
        <v>81983772764</v>
      </c>
      <c r="C277" t="str">
        <f>"EVERYDAY COUNTER-ANNIVERSARY PKG/6-J8164"</f>
        <v>EVERYDAY COUNTER-ANNIVERSARY PKG/6-J8164</v>
      </c>
      <c r="D277" s="3" t="str">
        <f>"J8164"</f>
        <v>J8164</v>
      </c>
      <c r="E277" s="3" t="str">
        <f>"ED16C042"</f>
        <v>ED16C042</v>
      </c>
    </row>
    <row r="278" spans="1:5" x14ac:dyDescent="0.25">
      <c r="A278" s="3" t="str">
        <f>"308474"</f>
        <v>308474</v>
      </c>
      <c r="B278" s="3" t="str">
        <f>"81983722059"</f>
        <v>81983722059</v>
      </c>
      <c r="C278" t="str">
        <f>"EVERYDAY COUNTER-THANK YOU/LOOK WHO'S BEEN A BLESSING PKG/6-J3457"</f>
        <v>EVERYDAY COUNTER-THANK YOU/LOOK WHO'S BEEN A BLESSING PKG/6-J3457</v>
      </c>
      <c r="D278" s="3" t="str">
        <f>"J3457"</f>
        <v>J3457</v>
      </c>
      <c r="E278" s="3" t="str">
        <f>"ED16C043"</f>
        <v>ED16C043</v>
      </c>
    </row>
    <row r="279" spans="1:5" x14ac:dyDescent="0.25">
      <c r="A279" s="3" t="str">
        <f>"279635"</f>
        <v>279635</v>
      </c>
      <c r="B279" s="3" t="str">
        <f>"81983757761"</f>
        <v>81983757761</v>
      </c>
      <c r="C279" t="str">
        <f>"EVERYDAY COUNTER-THANK YOU CLERGY PKG/6-J8224"</f>
        <v>EVERYDAY COUNTER-THANK YOU CLERGY PKG/6-J8224</v>
      </c>
      <c r="D279" s="3" t="str">
        <f>"J8224"</f>
        <v>J8224</v>
      </c>
      <c r="E279" s="3" t="str">
        <f>"ED16C044"</f>
        <v>ED16C044</v>
      </c>
    </row>
    <row r="280" spans="1:5" x14ac:dyDescent="0.25">
      <c r="A280" s="3" t="str">
        <f>"308477"</f>
        <v>308477</v>
      </c>
      <c r="B280" s="3" t="str">
        <f>"81983722158"</f>
        <v>81983722158</v>
      </c>
      <c r="C280" t="str">
        <f>"EVERYDAY COUNTER-MINISTRY APPRECIATION/WITH APPRECIATION FOR YOUR MINISTRY PKG/6-J3467"</f>
        <v>EVERYDAY COUNTER-MINISTRY APPRECIATION/WITH APPRECIATION FOR YOUR MINISTRY PKG/6-J3467</v>
      </c>
      <c r="D280" s="3" t="str">
        <f>"J3467"</f>
        <v>J3467</v>
      </c>
      <c r="E280" s="3" t="str">
        <f>"ED16C045"</f>
        <v>ED16C045</v>
      </c>
    </row>
    <row r="281" spans="1:5" x14ac:dyDescent="0.25">
      <c r="A281" s="3" t="str">
        <f>"308114"</f>
        <v>308114</v>
      </c>
      <c r="B281" s="3" t="str">
        <f>"81983644320"</f>
        <v>81983644320</v>
      </c>
      <c r="C281" t="str">
        <f>"EVERYDAY COUNTER-BABY BOY CONGRATS PKG/6-76489"</f>
        <v>EVERYDAY COUNTER-BABY BOY CONGRATS PKG/6-76489</v>
      </c>
      <c r="D281" s="3" t="str">
        <f>"76489"</f>
        <v>76489</v>
      </c>
      <c r="E281" s="3" t="str">
        <f>"ED16C046"</f>
        <v>ED16C046</v>
      </c>
    </row>
    <row r="282" spans="1:5" x14ac:dyDescent="0.25">
      <c r="A282" s="3" t="str">
        <f>"308008"</f>
        <v>308008</v>
      </c>
      <c r="B282" s="3" t="str">
        <f>"81983772115"</f>
        <v>81983772115</v>
      </c>
      <c r="C282" t="str">
        <f>"EVERYDAY COUNTER-YOUTH BAPTISM-J9923"</f>
        <v>EVERYDAY COUNTER-YOUTH BAPTISM-J9923</v>
      </c>
      <c r="D282" s="3" t="str">
        <f>"J9923"</f>
        <v>J9923</v>
      </c>
      <c r="E282" s="3" t="str">
        <f>"ED16C047"</f>
        <v>ED16C047</v>
      </c>
    </row>
    <row r="283" spans="1:5" x14ac:dyDescent="0.25">
      <c r="A283" s="3" t="str">
        <f>"307925"</f>
        <v>307925</v>
      </c>
      <c r="B283" s="3" t="str">
        <f>"81983772108"</f>
        <v>81983772108</v>
      </c>
      <c r="C283" t="str">
        <f>"EVERYDAY COUNTER-BABY BAPTISM PKG/6-J9922"</f>
        <v>EVERYDAY COUNTER-BABY BAPTISM PKG/6-J9922</v>
      </c>
      <c r="D283" s="3" t="str">
        <f>"J9922"</f>
        <v>J9922</v>
      </c>
      <c r="E283" s="3" t="str">
        <f>"ED16C048"</f>
        <v>ED16C048</v>
      </c>
    </row>
    <row r="284" spans="1:5" x14ac:dyDescent="0.25">
      <c r="A284" s="3" t="str">
        <f>"298672"</f>
        <v>298672</v>
      </c>
      <c r="B284" s="3" t="str">
        <f>"81983772733"</f>
        <v>81983772733</v>
      </c>
      <c r="C284" t="str">
        <f>"EVERYDAY COUNTER-ANNIVERSARY 50TH PKG/6-10236"</f>
        <v>EVERYDAY COUNTER-ANNIVERSARY 50TH PKG/6-10236</v>
      </c>
      <c r="D284" s="3" t="str">
        <f>"10236"</f>
        <v>10236</v>
      </c>
      <c r="E284" s="3" t="str">
        <f>"ED16C049"</f>
        <v>ED16C049</v>
      </c>
    </row>
    <row r="285" spans="1:5" x14ac:dyDescent="0.25">
      <c r="A285" s="3" t="str">
        <f>"308104"</f>
        <v>308104</v>
      </c>
      <c r="B285" s="3" t="str">
        <f>"81983771668"</f>
        <v>81983771668</v>
      </c>
      <c r="C285" t="str">
        <f>"EVERYDAY COUNTER-ON YOUR ANNIVERSARY-J9878"</f>
        <v>EVERYDAY COUNTER-ON YOUR ANNIVERSARY-J9878</v>
      </c>
      <c r="D285" s="3" t="str">
        <f>"J9878"</f>
        <v>J9878</v>
      </c>
      <c r="E285" s="3" t="str">
        <f>"ED16C050"</f>
        <v>ED16C050</v>
      </c>
    </row>
    <row r="286" spans="1:5" x14ac:dyDescent="0.25">
      <c r="A286" s="3" t="str">
        <f>"308151"</f>
        <v>308151</v>
      </c>
      <c r="B286" s="3" t="str">
        <f>"81983573293"</f>
        <v>81983573293</v>
      </c>
      <c r="C286" t="str">
        <f>"EVERYDAY COUNTER-THANK YOU - FOR ANYONE-83828"</f>
        <v>EVERYDAY COUNTER-THANK YOU - FOR ANYONE-83828</v>
      </c>
      <c r="D286" s="3" t="str">
        <f>"83828"</f>
        <v>83828</v>
      </c>
      <c r="E286" s="3" t="str">
        <f>"ED16C051"</f>
        <v>ED16C051</v>
      </c>
    </row>
    <row r="287" spans="1:5" x14ac:dyDescent="0.25">
      <c r="A287" s="3" t="str">
        <f>"308475"</f>
        <v>308475</v>
      </c>
      <c r="B287" s="3" t="str">
        <f>"81983722141"</f>
        <v>81983722141</v>
      </c>
      <c r="C287" t="str">
        <f>"EVERYDAY COUNTER-THANK YOU -PASTOR/YOU'RE AN INSPIRATION PKG/6-J3466"</f>
        <v>EVERYDAY COUNTER-THANK YOU -PASTOR/YOU'RE AN INSPIRATION PKG/6-J3466</v>
      </c>
      <c r="D287" s="3" t="str">
        <f>"J3466"</f>
        <v>J3466</v>
      </c>
      <c r="E287" s="3" t="str">
        <f>"ED16C052"</f>
        <v>ED16C052</v>
      </c>
    </row>
    <row r="288" spans="1:5" x14ac:dyDescent="0.25">
      <c r="A288" s="3" t="str">
        <f>"279644"</f>
        <v>279644</v>
      </c>
      <c r="B288" s="3" t="str">
        <f>"81983757839"</f>
        <v>81983757839</v>
      </c>
      <c r="C288" t="str">
        <f>"EVERYDAY COUNTER-THANK YOU MINISTRY APPRECIATIO PKG/6-J8231"</f>
        <v>EVERYDAY COUNTER-THANK YOU MINISTRY APPRECIATIO PKG/6-J8231</v>
      </c>
      <c r="D288" s="3" t="str">
        <f>"J8231"</f>
        <v>J8231</v>
      </c>
      <c r="E288" s="3" t="str">
        <f>"ED16C053"</f>
        <v>ED16C053</v>
      </c>
    </row>
    <row r="289" spans="1:5" x14ac:dyDescent="0.25">
      <c r="A289" s="3" t="str">
        <f>"298711"</f>
        <v>298711</v>
      </c>
      <c r="B289" s="3" t="str">
        <f>"81983652592"</f>
        <v>81983652592</v>
      </c>
      <c r="C289" t="str">
        <f>"EVERYDAY COUNTER-BABY CONGRATS BOY PKG/6-10293"</f>
        <v>EVERYDAY COUNTER-BABY CONGRATS BOY PKG/6-10293</v>
      </c>
      <c r="D289" s="3" t="str">
        <f>"10293"</f>
        <v>10293</v>
      </c>
      <c r="E289" s="3" t="str">
        <f>"ED16C054"</f>
        <v>ED16C054</v>
      </c>
    </row>
    <row r="290" spans="1:5" x14ac:dyDescent="0.25">
      <c r="A290" s="3" t="str">
        <f>"308220"</f>
        <v>308220</v>
      </c>
      <c r="B290" s="3" t="str">
        <f>"81983677427"</f>
        <v>81983677427</v>
      </c>
      <c r="C290" t="str">
        <f>"EVERYDAY COUNTER-YOUTH BAPTISM PKG/6-91999"</f>
        <v>EVERYDAY COUNTER-YOUTH BAPTISM PKG/6-91999</v>
      </c>
      <c r="D290" s="3" t="str">
        <f>"91999"</f>
        <v>91999</v>
      </c>
      <c r="E290" s="3" t="str">
        <f>"ED16C055"</f>
        <v>ED16C055</v>
      </c>
    </row>
    <row r="291" spans="1:5" x14ac:dyDescent="0.25">
      <c r="A291" s="3" t="str">
        <f>"279610"</f>
        <v>279610</v>
      </c>
      <c r="B291" s="3" t="str">
        <f>"81983757563"</f>
        <v>81983757563</v>
      </c>
      <c r="C291" t="str">
        <f>"EVERYDAY COUNTER-SPIRITUAL OCC BAPTISM BABY PKG/6-J8204"</f>
        <v>EVERYDAY COUNTER-SPIRITUAL OCC BAPTISM BABY PKG/6-J8204</v>
      </c>
      <c r="D291" s="3" t="str">
        <f>"J8204"</f>
        <v>J8204</v>
      </c>
      <c r="E291" s="3" t="str">
        <f>"ED16C056"</f>
        <v>ED16C056</v>
      </c>
    </row>
    <row r="292" spans="1:5" x14ac:dyDescent="0.25">
      <c r="A292" s="3" t="str">
        <f>"308194"</f>
        <v>308194</v>
      </c>
      <c r="B292" s="3" t="str">
        <f>"81983677045"</f>
        <v>81983677045</v>
      </c>
      <c r="C292" t="str">
        <f>"EVERYDAY COUNTER-ANNIVERSARY-25TH PKG/6-91969"</f>
        <v>EVERYDAY COUNTER-ANNIVERSARY-25TH PKG/6-91969</v>
      </c>
      <c r="D292" s="3" t="str">
        <f>"91969"</f>
        <v>91969</v>
      </c>
      <c r="E292" s="3" t="str">
        <f>"ED16C057"</f>
        <v>ED16C057</v>
      </c>
    </row>
    <row r="293" spans="1:5" x14ac:dyDescent="0.25">
      <c r="A293" s="3" t="str">
        <f>"308103"</f>
        <v>308103</v>
      </c>
      <c r="B293" s="3" t="str">
        <f>"81983771675"</f>
        <v>81983771675</v>
      </c>
      <c r="C293" t="str">
        <f>"EVERYDAY COUNTER-ANNIVERSARY PKG/6-J9879"</f>
        <v>EVERYDAY COUNTER-ANNIVERSARY PKG/6-J9879</v>
      </c>
      <c r="D293" s="3" t="str">
        <f>"J9879"</f>
        <v>J9879</v>
      </c>
      <c r="E293" s="3" t="str">
        <f>"ED16C058"</f>
        <v>ED16C058</v>
      </c>
    </row>
    <row r="294" spans="1:5" x14ac:dyDescent="0.25">
      <c r="A294" s="3" t="str">
        <f>"307948"</f>
        <v>307948</v>
      </c>
      <c r="B294" s="3" t="str">
        <f>"81983584633"</f>
        <v>81983584633</v>
      </c>
      <c r="C294" t="str">
        <f>"EVERYDAY COUNTER-THANK YOU-47934"</f>
        <v>EVERYDAY COUNTER-THANK YOU-47934</v>
      </c>
      <c r="D294" s="3" t="str">
        <f>"47934"</f>
        <v>47934</v>
      </c>
      <c r="E294" s="3" t="str">
        <f>"ED16C059"</f>
        <v>ED16C059</v>
      </c>
    </row>
    <row r="295" spans="1:5" x14ac:dyDescent="0.25">
      <c r="A295" s="3" t="str">
        <f>"308166"</f>
        <v>308166</v>
      </c>
      <c r="B295" s="3" t="str">
        <f>"81983772337"</f>
        <v>81983772337</v>
      </c>
      <c r="C295" t="str">
        <f>"EVERYDAY COUNTER-THANK YOU - MILITARY-J9945"</f>
        <v>EVERYDAY COUNTER-THANK YOU - MILITARY-J9945</v>
      </c>
      <c r="D295" s="3" t="str">
        <f>"J9945"</f>
        <v>J9945</v>
      </c>
      <c r="E295" s="3" t="str">
        <f>"ED16C060"</f>
        <v>ED16C060</v>
      </c>
    </row>
    <row r="296" spans="1:5" x14ac:dyDescent="0.25">
      <c r="A296" s="3" t="str">
        <f>"401611"</f>
        <v>401611</v>
      </c>
      <c r="B296" s="3" t="str">
        <f>"81983678677"</f>
        <v>81983678677</v>
      </c>
      <c r="C296" t="str">
        <f>"EVERYDAY COUNTER-THANK YOU-82376"</f>
        <v>EVERYDAY COUNTER-THANK YOU-82376</v>
      </c>
      <c r="D296" s="3" t="str">
        <f>"82376"</f>
        <v>82376</v>
      </c>
      <c r="E296" s="3" t="str">
        <f>"ED16C061"</f>
        <v>ED16C061</v>
      </c>
    </row>
    <row r="297" spans="1:5" x14ac:dyDescent="0.25">
      <c r="A297" s="3" t="str">
        <f>"279575"</f>
        <v>279575</v>
      </c>
      <c r="B297" s="3" t="str">
        <f>"81983757280"</f>
        <v>81983757280</v>
      </c>
      <c r="C297" t="str">
        <f>"EVERYDAY COUNTER-BABY CONGRATS PKG/6-J8176"</f>
        <v>EVERYDAY COUNTER-BABY CONGRATS PKG/6-J8176</v>
      </c>
      <c r="D297" s="3" t="str">
        <f>"J8176"</f>
        <v>J8176</v>
      </c>
      <c r="E297" s="3" t="str">
        <f>"ED16C062"</f>
        <v>ED16C062</v>
      </c>
    </row>
    <row r="298" spans="1:5" x14ac:dyDescent="0.25">
      <c r="A298" s="3" t="str">
        <f>"308486"</f>
        <v>308486</v>
      </c>
      <c r="B298" s="3" t="str">
        <f>"81983722288"</f>
        <v>81983722288</v>
      </c>
      <c r="C298" t="str">
        <f>"EVERYDAY COUNTER-WITNESS/TABLE AND CHAIRS PKG/6-J3480"</f>
        <v>EVERYDAY COUNTER-WITNESS/TABLE AND CHAIRS PKG/6-J3480</v>
      </c>
      <c r="D298" s="3" t="str">
        <f>"J3480"</f>
        <v>J3480</v>
      </c>
      <c r="E298" s="3" t="str">
        <f>"ED16C063"</f>
        <v>ED16C063</v>
      </c>
    </row>
    <row r="299" spans="1:5" x14ac:dyDescent="0.25">
      <c r="A299" s="3" t="str">
        <f>"298706"</f>
        <v>298706</v>
      </c>
      <c r="B299" s="3" t="str">
        <f>"81983652479"</f>
        <v>81983652479</v>
      </c>
      <c r="C299" t="str">
        <f>"EVERYDAY COUNTER-BAPTISM BABY PKG/6-10285"</f>
        <v>EVERYDAY COUNTER-BAPTISM BABY PKG/6-10285</v>
      </c>
      <c r="D299" s="3" t="str">
        <f>"10285"</f>
        <v>10285</v>
      </c>
      <c r="E299" s="3" t="str">
        <f>"ED16C064"</f>
        <v>ED16C064</v>
      </c>
    </row>
    <row r="300" spans="1:5" x14ac:dyDescent="0.25">
      <c r="A300" s="3" t="str">
        <f>"308190"</f>
        <v>308190</v>
      </c>
      <c r="B300" s="3" t="str">
        <f>"81983676994"</f>
        <v>81983676994</v>
      </c>
      <c r="C300" t="str">
        <f>"EVERYDAY COUNTER-ANNIVERSARY-10TH PKG/6-91966"</f>
        <v>EVERYDAY COUNTER-ANNIVERSARY-10TH PKG/6-91966</v>
      </c>
      <c r="D300" s="3" t="str">
        <f>"91966"</f>
        <v>91966</v>
      </c>
      <c r="E300" s="3" t="str">
        <f>"ED16C065"</f>
        <v>ED16C065</v>
      </c>
    </row>
    <row r="301" spans="1:5" x14ac:dyDescent="0.25">
      <c r="A301" s="3" t="str">
        <f>"298705"</f>
        <v>298705</v>
      </c>
      <c r="B301" s="3" t="str">
        <f>"81983772801"</f>
        <v>81983772801</v>
      </c>
      <c r="C301" t="str">
        <f>"EVERYDAY COUNTER-ANNIVERSARY PKG/6-10284"</f>
        <v>EVERYDAY COUNTER-ANNIVERSARY PKG/6-10284</v>
      </c>
      <c r="D301" s="3" t="str">
        <f>"10284"</f>
        <v>10284</v>
      </c>
      <c r="E301" s="3" t="str">
        <f>"ED16C066"</f>
        <v>ED16C066</v>
      </c>
    </row>
    <row r="302" spans="1:5" x14ac:dyDescent="0.25">
      <c r="A302" s="3" t="str">
        <f>"308115"</f>
        <v>308115</v>
      </c>
      <c r="B302" s="3" t="str">
        <f>"81983584640"</f>
        <v>81983584640</v>
      </c>
      <c r="C302" t="str">
        <f>"EVERYDAY COUNTER-THANK YOU-78829"</f>
        <v>EVERYDAY COUNTER-THANK YOU-78829</v>
      </c>
      <c r="D302" s="3" t="str">
        <f>"78829"</f>
        <v>78829</v>
      </c>
      <c r="E302" s="3" t="str">
        <f>"ED16C067"</f>
        <v>ED16C067</v>
      </c>
    </row>
    <row r="303" spans="1:5" x14ac:dyDescent="0.25">
      <c r="A303" s="3" t="str">
        <f>"345265"</f>
        <v>345265</v>
      </c>
      <c r="B303" s="3" t="str">
        <f>"81983793844"</f>
        <v>81983793844</v>
      </c>
      <c r="C303" t="str">
        <f>"EVERYDAY COUNTER-THANK YOU PK/6-U2600"</f>
        <v>EVERYDAY COUNTER-THANK YOU PK/6-U2600</v>
      </c>
      <c r="D303" s="3" t="str">
        <f>"U2600"</f>
        <v>U2600</v>
      </c>
      <c r="E303" s="3" t="str">
        <f>"ED16C068"</f>
        <v>ED16C068</v>
      </c>
    </row>
    <row r="304" spans="1:5" x14ac:dyDescent="0.25">
      <c r="A304" s="3" t="str">
        <f>"345238"</f>
        <v>345238</v>
      </c>
      <c r="B304" s="3" t="str">
        <f>"81983793615"</f>
        <v>81983793615</v>
      </c>
      <c r="C304" t="str">
        <f>"EVERYDAY COUNTER-CONGRATULATIONS PKG/6-U2577"</f>
        <v>EVERYDAY COUNTER-CONGRATULATIONS PKG/6-U2577</v>
      </c>
      <c r="D304" s="3" t="str">
        <f>"U2577"</f>
        <v>U2577</v>
      </c>
      <c r="E304" s="3" t="str">
        <f>"ED16C069"</f>
        <v>ED16C069</v>
      </c>
    </row>
    <row r="305" spans="1:5" x14ac:dyDescent="0.25">
      <c r="A305" s="3" t="str">
        <f>"279577"</f>
        <v>279577</v>
      </c>
      <c r="B305" s="3" t="str">
        <f>"81983757303"</f>
        <v>81983757303</v>
      </c>
      <c r="C305" t="str">
        <f>"EVERYDAY COUNTER-CONGRATS-BABY SHOWER PKG/6-J8178"</f>
        <v>EVERYDAY COUNTER-CONGRATS-BABY SHOWER PKG/6-J8178</v>
      </c>
      <c r="D305" s="3" t="str">
        <f>"J8178"</f>
        <v>J8178</v>
      </c>
      <c r="E305" s="3" t="str">
        <f>"ED16C070"</f>
        <v>ED16C070</v>
      </c>
    </row>
    <row r="306" spans="1:5" x14ac:dyDescent="0.25">
      <c r="A306" s="3" t="str">
        <f>"298727"</f>
        <v>298727</v>
      </c>
      <c r="B306" s="3" t="str">
        <f>"81983678271"</f>
        <v>81983678271</v>
      </c>
      <c r="C306" t="str">
        <f>"EVERYDAY COUNTER-SPIRIT OCC-BABY DEDICATION-11523"</f>
        <v>EVERYDAY COUNTER-SPIRIT OCC-BABY DEDICATION-11523</v>
      </c>
      <c r="D306" s="3" t="str">
        <f>"11523"</f>
        <v>11523</v>
      </c>
      <c r="E306" s="3" t="str">
        <f>"ED16C071"</f>
        <v>ED16C071</v>
      </c>
    </row>
    <row r="307" spans="1:5" x14ac:dyDescent="0.25">
      <c r="A307" s="3" t="str">
        <f>"345257"</f>
        <v>345257</v>
      </c>
      <c r="B307" s="3" t="str">
        <f>"81983793776"</f>
        <v>81983793776</v>
      </c>
      <c r="C307" t="str">
        <f>"EVERYDAY COUNTER-BAPTISM BABY PKG/6"</f>
        <v>EVERYDAY COUNTER-BAPTISM BABY PKG/6</v>
      </c>
      <c r="D307" s="3" t="str">
        <f>"U2593"</f>
        <v>U2593</v>
      </c>
      <c r="E307" s="3" t="str">
        <f>"ED16C072"</f>
        <v>ED16C072</v>
      </c>
    </row>
    <row r="308" spans="1:5" x14ac:dyDescent="0.25">
      <c r="A308" s="3" t="str">
        <f>"308191"</f>
        <v>308191</v>
      </c>
      <c r="B308" s="3" t="str">
        <f>"81983772696"</f>
        <v>81983772696</v>
      </c>
      <c r="C308" t="str">
        <f>"EVERYDAY COUNTER-ANNIVERSARY-1ST PKG/6-91967"</f>
        <v>EVERYDAY COUNTER-ANNIVERSARY-1ST PKG/6-91967</v>
      </c>
      <c r="D308" s="3" t="str">
        <f>"91967"</f>
        <v>91967</v>
      </c>
      <c r="E308" s="3" t="str">
        <f>"ED16C073"</f>
        <v>ED16C073</v>
      </c>
    </row>
    <row r="309" spans="1:5" x14ac:dyDescent="0.25">
      <c r="A309" s="3" t="str">
        <f>"298770"</f>
        <v>298770</v>
      </c>
      <c r="B309" s="3" t="str">
        <f>"81983594052"</f>
        <v>81983594052</v>
      </c>
      <c r="C309" t="str">
        <f>"EVERYDAY COUNTER-ANN-FOR ANYONE PKG/6-12033"</f>
        <v>EVERYDAY COUNTER-ANN-FOR ANYONE PKG/6-12033</v>
      </c>
      <c r="D309" s="3" t="str">
        <f>"12033"</f>
        <v>12033</v>
      </c>
      <c r="E309" s="3" t="str">
        <f>"ED16C074"</f>
        <v>ED16C074</v>
      </c>
    </row>
    <row r="310" spans="1:5" x14ac:dyDescent="0.25">
      <c r="A310" s="3" t="str">
        <f>"308150"</f>
        <v>308150</v>
      </c>
      <c r="B310" s="3" t="str">
        <f>"81983573286"</f>
        <v>81983573286</v>
      </c>
      <c r="C310" t="str">
        <f>"EVERYDAY COUNTER-THANK YOU - FOR ANYONE-83827"</f>
        <v>EVERYDAY COUNTER-THANK YOU - FOR ANYONE-83827</v>
      </c>
      <c r="D310" s="3" t="str">
        <f>"83827"</f>
        <v>83827</v>
      </c>
      <c r="E310" s="3" t="str">
        <f>"ED16C075"</f>
        <v>ED16C075</v>
      </c>
    </row>
    <row r="311" spans="1:5" x14ac:dyDescent="0.25">
      <c r="A311" s="3" t="str">
        <f>"308266"</f>
        <v>308266</v>
      </c>
      <c r="B311" s="3" t="str">
        <f>"81983612442"</f>
        <v>81983612442</v>
      </c>
      <c r="C311" t="str">
        <f>"EVERYDAY COUNTER-THANK YOU-FOR ANYONE-44123"</f>
        <v>EVERYDAY COUNTER-THANK YOU-FOR ANYONE-44123</v>
      </c>
      <c r="D311" s="3" t="str">
        <f>"44123"</f>
        <v>44123</v>
      </c>
      <c r="E311" s="3" t="str">
        <f>"ED16C076"</f>
        <v>ED16C076</v>
      </c>
    </row>
    <row r="312" spans="1:5" x14ac:dyDescent="0.25">
      <c r="A312" s="3" t="str">
        <f>"308211"</f>
        <v>308211</v>
      </c>
      <c r="B312" s="3" t="str">
        <f>"81983773327"</f>
        <v>81983773327</v>
      </c>
      <c r="C312" t="str">
        <f>"EVERYDAY COUNTER-CONGRATS FOR ANYONE PKG/6-91990"</f>
        <v>EVERYDAY COUNTER-CONGRATS FOR ANYONE PKG/6-91990</v>
      </c>
      <c r="D312" s="3" t="str">
        <f>"91990"</f>
        <v>91990</v>
      </c>
      <c r="E312" s="3" t="str">
        <f>"ED16C077"</f>
        <v>ED16C077</v>
      </c>
    </row>
    <row r="313" spans="1:5" x14ac:dyDescent="0.25">
      <c r="A313" s="3" t="str">
        <f>"308002"</f>
        <v>308002</v>
      </c>
      <c r="B313" s="3" t="str">
        <f>"81983772078"</f>
        <v>81983772078</v>
      </c>
      <c r="C313" t="str">
        <f>"EVERYDAY COUNTER-SPECIAL OCCASION-RETIREMENT-J9919"</f>
        <v>EVERYDAY COUNTER-SPECIAL OCCASION-RETIREMENT-J9919</v>
      </c>
      <c r="D313" s="3" t="str">
        <f>"J9919"</f>
        <v>J9919</v>
      </c>
      <c r="E313" s="3" t="str">
        <f>"ED16C078"</f>
        <v>ED16C078</v>
      </c>
    </row>
    <row r="314" spans="1:5" x14ac:dyDescent="0.25">
      <c r="A314" s="3" t="str">
        <f>"308262"</f>
        <v>308262</v>
      </c>
      <c r="B314" s="3" t="str">
        <f>"81983679094"</f>
        <v>81983679094</v>
      </c>
      <c r="C314" t="str">
        <f>"EVERYDAY COUNTER-BABY DEDICATION - GN PKG/6-92299"</f>
        <v>EVERYDAY COUNTER-BABY DEDICATION - GN PKG/6-92299</v>
      </c>
      <c r="D314" s="3" t="str">
        <f>"92299"</f>
        <v>92299</v>
      </c>
      <c r="E314" s="3" t="str">
        <f>"ED16C079"</f>
        <v>ED16C079</v>
      </c>
    </row>
    <row r="315" spans="1:5" x14ac:dyDescent="0.25">
      <c r="A315" s="3" t="str">
        <f>"308096"</f>
        <v>308096</v>
      </c>
      <c r="B315" s="3" t="str">
        <f>"81983589461"</f>
        <v>81983589461</v>
      </c>
      <c r="C315" t="str">
        <f>"EVERYDAY COUNTER-YOUTH PASTOR APPREC.-75410"</f>
        <v>EVERYDAY COUNTER-YOUTH PASTOR APPREC.-75410</v>
      </c>
      <c r="D315" s="3" t="str">
        <f>"75410"</f>
        <v>75410</v>
      </c>
      <c r="E315" s="3" t="str">
        <f>"ED16C080"</f>
        <v>ED16C080</v>
      </c>
    </row>
    <row r="316" spans="1:5" x14ac:dyDescent="0.25">
      <c r="A316" s="3" t="str">
        <f>"298681"</f>
        <v>298681</v>
      </c>
      <c r="B316" s="3" t="str">
        <f>"81983772757"</f>
        <v>81983772757</v>
      </c>
      <c r="C316" t="str">
        <f>"EVERYDAY COUNTER-ANNIVERSARY PKG/6-10251"</f>
        <v>EVERYDAY COUNTER-ANNIVERSARY PKG/6-10251</v>
      </c>
      <c r="D316" s="3" t="str">
        <f>"10251"</f>
        <v>10251</v>
      </c>
      <c r="E316" s="3" t="str">
        <f>"ED16C081"</f>
        <v>ED16C081</v>
      </c>
    </row>
    <row r="317" spans="1:5" x14ac:dyDescent="0.25">
      <c r="A317" s="3" t="str">
        <f>"308139"</f>
        <v>308139</v>
      </c>
      <c r="B317" s="3" t="str">
        <f>"81983582837"</f>
        <v>81983582837</v>
      </c>
      <c r="C317" t="str">
        <f>"EVERYDAY COUNTER-ANNIVERSARY/BLESSINGS OF LOVE PKG/6-81735"</f>
        <v>EVERYDAY COUNTER-ANNIVERSARY/BLESSINGS OF LOVE PKG/6-81735</v>
      </c>
      <c r="D317" s="3" t="str">
        <f>"81735"</f>
        <v>81735</v>
      </c>
      <c r="E317" s="3" t="str">
        <f>"ED16C082"</f>
        <v>ED16C082</v>
      </c>
    </row>
    <row r="318" spans="1:5" x14ac:dyDescent="0.25">
      <c r="A318" s="3" t="str">
        <f>"308466"</f>
        <v>308466</v>
      </c>
      <c r="B318" s="3" t="str">
        <f>"81983721984"</f>
        <v>81983721984</v>
      </c>
      <c r="C318" t="str">
        <f>"EVERYDAY COUNTER-THANK YOU/WITH APPRECIATION PKG/6-J3450"</f>
        <v>EVERYDAY COUNTER-THANK YOU/WITH APPRECIATION PKG/6-J3450</v>
      </c>
      <c r="D318" s="3" t="str">
        <f>"J3450"</f>
        <v>J3450</v>
      </c>
      <c r="E318" s="3" t="str">
        <f>"ED16C083"</f>
        <v>ED16C083</v>
      </c>
    </row>
    <row r="319" spans="1:5" x14ac:dyDescent="0.25">
      <c r="A319" s="3" t="str">
        <f>"308145"</f>
        <v>308145</v>
      </c>
      <c r="B319" s="3" t="str">
        <f>"81983584626"</f>
        <v>81983584626</v>
      </c>
      <c r="C319" t="str">
        <f>"EVERYDAY COUNTER-THANK YOU-82375"</f>
        <v>EVERYDAY COUNTER-THANK YOU-82375</v>
      </c>
      <c r="D319" s="3" t="str">
        <f>"82375"</f>
        <v>82375</v>
      </c>
      <c r="E319" s="3" t="str">
        <f>"ED16C084"</f>
        <v>ED16C084</v>
      </c>
    </row>
    <row r="320" spans="1:5" x14ac:dyDescent="0.25">
      <c r="A320" s="3" t="str">
        <f>"298718"</f>
        <v>298718</v>
      </c>
      <c r="B320" s="3" t="str">
        <f>"81983771798"</f>
        <v>81983771798</v>
      </c>
      <c r="C320" t="str">
        <f>"EVERYDAY COUNTER-CONGRATS-FOR ANYONE-J9891"</f>
        <v>EVERYDAY COUNTER-CONGRATS-FOR ANYONE-J9891</v>
      </c>
      <c r="D320" s="3" t="str">
        <f>"J9891"</f>
        <v>J9891</v>
      </c>
      <c r="E320" s="3" t="str">
        <f>"ED16C085"</f>
        <v>ED16C085</v>
      </c>
    </row>
    <row r="321" spans="1:5" x14ac:dyDescent="0.25">
      <c r="A321" s="3" t="str">
        <f>"279607"</f>
        <v>279607</v>
      </c>
      <c r="B321" s="3" t="str">
        <f>"81983774270"</f>
        <v>81983774270</v>
      </c>
      <c r="C321" t="str">
        <f>"EVERYDAY COUNTER-SPECIAL OCC-RETIREMENT PKG/6-J8201"</f>
        <v>EVERYDAY COUNTER-SPECIAL OCC-RETIREMENT PKG/6-J8201</v>
      </c>
      <c r="D321" s="3" t="str">
        <f>"J8201"</f>
        <v>J8201</v>
      </c>
      <c r="E321" s="3" t="str">
        <f>"ED16C086"</f>
        <v>ED16C086</v>
      </c>
    </row>
    <row r="322" spans="1:5" x14ac:dyDescent="0.25">
      <c r="A322" s="3" t="str">
        <f>"307943"</f>
        <v>307943</v>
      </c>
      <c r="B322" s="3" t="str">
        <f>"81983772085"</f>
        <v>81983772085</v>
      </c>
      <c r="C322" t="str">
        <f>"EVERYDAY COUNTER-BABY SPECIAL DAY-J9920"</f>
        <v>EVERYDAY COUNTER-BABY SPECIAL DAY-J9920</v>
      </c>
      <c r="D322" s="3" t="str">
        <f>"J9920"</f>
        <v>J9920</v>
      </c>
      <c r="E322" s="3" t="str">
        <f>"ED16C087"</f>
        <v>ED16C087</v>
      </c>
    </row>
    <row r="323" spans="1:5" x14ac:dyDescent="0.25">
      <c r="A323" s="3" t="str">
        <f>"279612"</f>
        <v>279612</v>
      </c>
      <c r="B323" s="3" t="str">
        <f>"81983757587"</f>
        <v>81983757587</v>
      </c>
      <c r="C323" t="str">
        <f>"EVERYDAY COUNTER-SPIRITUAL OCC-CONFIRMATION PKG/6-J8206"</f>
        <v>EVERYDAY COUNTER-SPIRITUAL OCC-CONFIRMATION PKG/6-J8206</v>
      </c>
      <c r="D323" s="3" t="str">
        <f>"J8206"</f>
        <v>J8206</v>
      </c>
      <c r="E323" s="3" t="str">
        <f>"ED16C088"</f>
        <v>ED16C088</v>
      </c>
    </row>
    <row r="324" spans="1:5" x14ac:dyDescent="0.25">
      <c r="A324" s="3" t="str">
        <f>"345234"</f>
        <v>345234</v>
      </c>
      <c r="B324" s="3" t="str">
        <f>"81983793585"</f>
        <v>81983793585</v>
      </c>
      <c r="C324" t="str">
        <f>"EVERYDAY COUNTER-ANNIVERSARY-MOM/DAD PKG/6"</f>
        <v>EVERYDAY COUNTER-ANNIVERSARY-MOM/DAD PKG/6</v>
      </c>
      <c r="D324" s="3" t="str">
        <f>"U2574"</f>
        <v>U2574</v>
      </c>
      <c r="E324" s="3" t="str">
        <f>"ED16C089"</f>
        <v>ED16C089</v>
      </c>
    </row>
    <row r="325" spans="1:5" x14ac:dyDescent="0.25">
      <c r="A325" s="3" t="str">
        <f>"298704"</f>
        <v>298704</v>
      </c>
      <c r="B325" s="3" t="str">
        <f>"81983652455"</f>
        <v>81983652455</v>
      </c>
      <c r="C325" t="str">
        <f>"EVERYDAY COUNTER-ANNIVERSARY PKG/6-10283"</f>
        <v>EVERYDAY COUNTER-ANNIVERSARY PKG/6-10283</v>
      </c>
      <c r="D325" s="3" t="str">
        <f>"10283"</f>
        <v>10283</v>
      </c>
      <c r="E325" s="3" t="str">
        <f>"ED16C090"</f>
        <v>ED16C090</v>
      </c>
    </row>
    <row r="326" spans="1:5" x14ac:dyDescent="0.25">
      <c r="A326" s="3" t="str">
        <f>"308154"</f>
        <v>308154</v>
      </c>
      <c r="B326" s="3" t="str">
        <f>"81983573330"</f>
        <v>81983573330</v>
      </c>
      <c r="C326" t="str">
        <f>"EVERYDAY COUNTER-THANK YOU - FOR ANYONE-83838"</f>
        <v>EVERYDAY COUNTER-THANK YOU - FOR ANYONE-83838</v>
      </c>
      <c r="D326" s="3" t="str">
        <f>"83838"</f>
        <v>83838</v>
      </c>
      <c r="E326" s="3" t="str">
        <f>"ED16C091"</f>
        <v>ED16C091</v>
      </c>
    </row>
    <row r="327" spans="1:5" x14ac:dyDescent="0.25">
      <c r="A327" s="3" t="str">
        <f>"308046"</f>
        <v>308046</v>
      </c>
      <c r="B327" s="3" t="str">
        <f>"81983774683"</f>
        <v>81983774683</v>
      </c>
      <c r="C327" t="str">
        <f>"EVERYDAY COUNTER-THANK YOU-72720"</f>
        <v>EVERYDAY COUNTER-THANK YOU-72720</v>
      </c>
      <c r="D327" s="3" t="str">
        <f>"72720"</f>
        <v>72720</v>
      </c>
      <c r="E327" s="3" t="str">
        <f>"ED16C092"</f>
        <v>ED16C092</v>
      </c>
    </row>
    <row r="328" spans="1:5" x14ac:dyDescent="0.25">
      <c r="A328" s="3" t="str">
        <f>"308084"</f>
        <v>308084</v>
      </c>
      <c r="B328" s="3" t="str">
        <f>"81983771804"</f>
        <v>81983771804</v>
      </c>
      <c r="C328" t="str">
        <f>"EVERYDAY COUNTER-CONGRATS GRADUATE-J9892"</f>
        <v>EVERYDAY COUNTER-CONGRATS GRADUATE-J9892</v>
      </c>
      <c r="D328" s="3" t="str">
        <f>"J9892"</f>
        <v>J9892</v>
      </c>
      <c r="E328" s="3" t="str">
        <f>"ED16C093"</f>
        <v>ED16C093</v>
      </c>
    </row>
    <row r="329" spans="1:5" x14ac:dyDescent="0.25">
      <c r="A329" s="3" t="str">
        <f>"345254"</f>
        <v>345254</v>
      </c>
      <c r="B329" s="3" t="str">
        <f>"81983793752"</f>
        <v>81983793752</v>
      </c>
      <c r="C329" t="str">
        <f>"EVERYDAY COUNTER-RETIREMENT/MASCULINE PKG/6"</f>
        <v>EVERYDAY COUNTER-RETIREMENT/MASCULINE PKG/6</v>
      </c>
      <c r="D329" s="3" t="str">
        <f>"U2591"</f>
        <v>U2591</v>
      </c>
      <c r="E329" s="3" t="str">
        <f>"ED16C094"</f>
        <v>ED16C094</v>
      </c>
    </row>
    <row r="330" spans="1:5" x14ac:dyDescent="0.25">
      <c r="A330" s="3" t="str">
        <f>"307923"</f>
        <v>307923</v>
      </c>
      <c r="B330" s="3" t="str">
        <f>"81983772139"</f>
        <v>81983772139</v>
      </c>
      <c r="C330" t="str">
        <f>"EVERYDAY COUNTER-SPIRITUAL OCC-1ST COMMUNION-J9925"</f>
        <v>EVERYDAY COUNTER-SPIRITUAL OCC-1ST COMMUNION-J9925</v>
      </c>
      <c r="D330" s="3" t="str">
        <f>"J9925"</f>
        <v>J9925</v>
      </c>
      <c r="E330" s="3" t="str">
        <f>"ED16C095"</f>
        <v>ED16C095</v>
      </c>
    </row>
    <row r="331" spans="1:5" x14ac:dyDescent="0.25">
      <c r="A331" s="3" t="str">
        <f>"307946"</f>
        <v>307946</v>
      </c>
      <c r="B331" s="3" t="str">
        <f>"81983772146"</f>
        <v>81983772146</v>
      </c>
      <c r="C331" t="str">
        <f>"EVERYDAY COUNTER-ORDINATION-J9926"</f>
        <v>EVERYDAY COUNTER-ORDINATION-J9926</v>
      </c>
      <c r="D331" s="3" t="str">
        <f>"J9926"</f>
        <v>J9926</v>
      </c>
      <c r="E331" s="3" t="str">
        <f>"ED16C096"</f>
        <v>ED16C096</v>
      </c>
    </row>
    <row r="332" spans="1:5" x14ac:dyDescent="0.25">
      <c r="A332" s="3" t="str">
        <f>"298707"</f>
        <v>298707</v>
      </c>
      <c r="B332" s="3" t="str">
        <f>"81983771682"</f>
        <v>81983771682</v>
      </c>
      <c r="C332" t="str">
        <f>"EVERYDAY COUNTER-ANNIVERSARY PARENTS PKG/6-J9880"</f>
        <v>EVERYDAY COUNTER-ANNIVERSARY PARENTS PKG/6-J9880</v>
      </c>
      <c r="D332" s="3" t="str">
        <f>"J9880"</f>
        <v>J9880</v>
      </c>
      <c r="E332" s="3" t="str">
        <f>"ED16C097"</f>
        <v>ED16C097</v>
      </c>
    </row>
    <row r="333" spans="1:5" x14ac:dyDescent="0.25">
      <c r="A333" s="3" t="str">
        <f>"298680"</f>
        <v>298680</v>
      </c>
      <c r="B333" s="3" t="str">
        <f>"81983652011"</f>
        <v>81983652011</v>
      </c>
      <c r="C333" t="str">
        <f>"EVERYDAY COUNTER-ANN FOR ANYONE PKG/6-10250"</f>
        <v>EVERYDAY COUNTER-ANN FOR ANYONE PKG/6-10250</v>
      </c>
      <c r="D333" s="3" t="str">
        <f>"10250"</f>
        <v>10250</v>
      </c>
      <c r="E333" s="3" t="str">
        <f>"ED16C098"</f>
        <v>ED16C098</v>
      </c>
    </row>
    <row r="334" spans="1:5" x14ac:dyDescent="0.25">
      <c r="A334" s="3" t="str">
        <f>"345264"</f>
        <v>345264</v>
      </c>
      <c r="B334" s="3" t="str">
        <f>"81983793837"</f>
        <v>81983793837</v>
      </c>
      <c r="C334" t="str">
        <f>"EVERYDAY COUNTER-THANK YOU PKG/6-U2599"</f>
        <v>EVERYDAY COUNTER-THANK YOU PKG/6-U2599</v>
      </c>
      <c r="D334" s="3" t="str">
        <f>"U2599"</f>
        <v>U2599</v>
      </c>
      <c r="E334" s="3" t="str">
        <f>"ED16C099"</f>
        <v>ED16C099</v>
      </c>
    </row>
    <row r="335" spans="1:5" x14ac:dyDescent="0.25">
      <c r="A335" s="3" t="str">
        <f>"308108"</f>
        <v>308108</v>
      </c>
      <c r="B335" s="3" t="str">
        <f>"81983771781"</f>
        <v>81983771781</v>
      </c>
      <c r="C335" t="str">
        <f>"EVERYDAY COUNTER-CONGRATS-J9890"</f>
        <v>EVERYDAY COUNTER-CONGRATS-J9890</v>
      </c>
      <c r="D335" s="3" t="str">
        <f>"J9890"</f>
        <v>J9890</v>
      </c>
      <c r="E335" s="3" t="str">
        <f>"ED16C100"</f>
        <v>ED16C100</v>
      </c>
    </row>
    <row r="336" spans="1:5" x14ac:dyDescent="0.25">
      <c r="A336" s="3" t="str">
        <f>"298768"</f>
        <v>298768</v>
      </c>
      <c r="B336" s="3" t="str">
        <f>"81983593963"</f>
        <v>81983593963</v>
      </c>
      <c r="C336" t="str">
        <f>"EVERYDAY COUNTER-CONGRATS-FOR ANYONE-11800"</f>
        <v>EVERYDAY COUNTER-CONGRATS-FOR ANYONE-11800</v>
      </c>
      <c r="D336" s="3" t="str">
        <f>"11800"</f>
        <v>11800</v>
      </c>
      <c r="E336" s="3" t="str">
        <f>"ED16C101"</f>
        <v>ED16C101</v>
      </c>
    </row>
    <row r="337" spans="1:5" x14ac:dyDescent="0.25">
      <c r="A337" s="3" t="str">
        <f>"279604"</f>
        <v>279604</v>
      </c>
      <c r="B337" s="3" t="str">
        <f>"81983757518"</f>
        <v>81983757518</v>
      </c>
      <c r="C337" t="str">
        <f>"EVERYDAY COUNTER-SPEC OCC - AS YOU LEAVE PKG/6-J8199"</f>
        <v>EVERYDAY COUNTER-SPEC OCC - AS YOU LEAVE PKG/6-J8199</v>
      </c>
      <c r="D337" s="3" t="str">
        <f>"J8199"</f>
        <v>J8199</v>
      </c>
      <c r="E337" s="3" t="str">
        <f>"ED16C102"</f>
        <v>ED16C102</v>
      </c>
    </row>
    <row r="338" spans="1:5" x14ac:dyDescent="0.25">
      <c r="A338" s="3" t="str">
        <f>"308464"</f>
        <v>308464</v>
      </c>
      <c r="B338" s="3" t="str">
        <f>"81983721960"</f>
        <v>81983721960</v>
      </c>
      <c r="C338" t="str">
        <f>"EVERYDAY COUNTER-AS YOU LEAVE/BUTTERFLY AND FLOWERS PKG/6-J3448"</f>
        <v>EVERYDAY COUNTER-AS YOU LEAVE/BUTTERFLY AND FLOWERS PKG/6-J3448</v>
      </c>
      <c r="D338" s="3" t="str">
        <f>"J3448"</f>
        <v>J3448</v>
      </c>
      <c r="E338" s="3" t="str">
        <f>"ED16C103"</f>
        <v>ED16C103</v>
      </c>
    </row>
    <row r="339" spans="1:5" x14ac:dyDescent="0.25">
      <c r="A339" s="3" t="str">
        <f>"279615"</f>
        <v>279615</v>
      </c>
      <c r="B339" s="3" t="str">
        <f>"81983757600"</f>
        <v>81983757600</v>
      </c>
      <c r="C339" t="str">
        <f>"EVERYDAY COUNTER-SPIRITUAL OCC WOMEN IN MINISTR PKG/6-J8208"</f>
        <v>EVERYDAY COUNTER-SPIRITUAL OCC WOMEN IN MINISTR PKG/6-J8208</v>
      </c>
      <c r="D339" s="3" t="str">
        <f>"J8208"</f>
        <v>J8208</v>
      </c>
      <c r="E339" s="3" t="str">
        <f>"ED16C104"</f>
        <v>ED16C104</v>
      </c>
    </row>
    <row r="340" spans="1:5" x14ac:dyDescent="0.25">
      <c r="A340" s="3" t="str">
        <f>"308109"</f>
        <v>308109</v>
      </c>
      <c r="B340" s="3" t="str">
        <f>"81983644276"</f>
        <v>81983644276</v>
      </c>
      <c r="C340" t="str">
        <f>"EVERYDAY COUNTER-STEPPING OUT IN FAITH-76484"</f>
        <v>EVERYDAY COUNTER-STEPPING OUT IN FAITH-76484</v>
      </c>
      <c r="D340" s="3" t="str">
        <f>"76484"</f>
        <v>76484</v>
      </c>
      <c r="E340" s="3" t="str">
        <f>"ED16C105"</f>
        <v>ED16C105</v>
      </c>
    </row>
    <row r="341" spans="1:5" x14ac:dyDescent="0.25">
      <c r="A341" s="3" t="str">
        <f>"345233"</f>
        <v>345233</v>
      </c>
      <c r="B341" s="3" t="str">
        <f>"81983793578"</f>
        <v>81983793578</v>
      </c>
      <c r="C341" t="str">
        <f>"EVERYDAY COUNTER-ANNIVERSARY DAUGHTER/HUSBAND PKG/6"</f>
        <v>EVERYDAY COUNTER-ANNIVERSARY DAUGHTER/HUSBAND PKG/6</v>
      </c>
      <c r="D341" s="3" t="str">
        <f>"U2573"</f>
        <v>U2573</v>
      </c>
      <c r="E341" s="3" t="str">
        <f>"ED16C106"</f>
        <v>ED16C106</v>
      </c>
    </row>
    <row r="342" spans="1:5" x14ac:dyDescent="0.25">
      <c r="A342" s="3" t="str">
        <f>"279567"</f>
        <v>279567</v>
      </c>
      <c r="B342" s="3" t="str">
        <f>"81983757211"</f>
        <v>81983757211</v>
      </c>
      <c r="C342" t="str">
        <f>"EVERYDAY COUNTER-ANNIVERARY - SON &amp; WIFE PKG/6-J8169"</f>
        <v>EVERYDAY COUNTER-ANNIVERARY - SON &amp; WIFE PKG/6-J8169</v>
      </c>
      <c r="D342" s="3" t="str">
        <f>"J8169"</f>
        <v>J8169</v>
      </c>
      <c r="E342" s="3" t="str">
        <f>"ED16C107"</f>
        <v>ED16C107</v>
      </c>
    </row>
    <row r="343" spans="1:5" x14ac:dyDescent="0.25">
      <c r="A343" s="3" t="str">
        <f>"279643"</f>
        <v>279643</v>
      </c>
      <c r="B343" s="3" t="str">
        <f>"81983774690"</f>
        <v>81983774690</v>
      </c>
      <c r="C343" t="str">
        <f>"EVERYDAY COUNTER-THANK YOU PKG/6-J8230"</f>
        <v>EVERYDAY COUNTER-THANK YOU PKG/6-J8230</v>
      </c>
      <c r="D343" s="3" t="str">
        <f>"J8230"</f>
        <v>J8230</v>
      </c>
      <c r="E343" s="3" t="str">
        <f>"ED16C108"</f>
        <v>ED16C108</v>
      </c>
    </row>
    <row r="344" spans="1:5" x14ac:dyDescent="0.25">
      <c r="A344" s="3" t="str">
        <f>"308440"</f>
        <v>308440</v>
      </c>
      <c r="B344" s="3" t="str">
        <f>"81983721717"</f>
        <v>81983721717</v>
      </c>
      <c r="C344" t="str">
        <f>"EVERYDAY COUNTER-CONGRATS - GIFT CARD HOLDER/GREEN AND GOLD FLORAL PKG/6-J3423"</f>
        <v>EVERYDAY COUNTER-CONGRATS - GIFT CARD HOLDER/GREEN AND GOLD FLORAL PKG/6-J3423</v>
      </c>
      <c r="D344" s="3" t="str">
        <f>"J3423"</f>
        <v>J3423</v>
      </c>
      <c r="E344" s="3" t="str">
        <f>"ED16C109"</f>
        <v>ED16C109</v>
      </c>
    </row>
    <row r="345" spans="1:5" x14ac:dyDescent="0.25">
      <c r="A345" s="3" t="str">
        <f>"308439"</f>
        <v>308439</v>
      </c>
      <c r="B345" s="3" t="str">
        <f>"81983721700"</f>
        <v>81983721700</v>
      </c>
      <c r="C345" t="str">
        <f>"EVERYDAY COUNTER-CONGRATS - GIFT CARD HOLDER/SPECIAL OCCASIONS AND PEOPLE PKG/6-J3422"</f>
        <v>EVERYDAY COUNTER-CONGRATS - GIFT CARD HOLDER/SPECIAL OCCASIONS AND PEOPLE PKG/6-J3422</v>
      </c>
      <c r="D345" s="3" t="str">
        <f>"J3422"</f>
        <v>J3422</v>
      </c>
      <c r="E345" s="3" t="str">
        <f>"ED16C110"</f>
        <v>ED16C110</v>
      </c>
    </row>
    <row r="346" spans="1:5" x14ac:dyDescent="0.25">
      <c r="A346" s="3" t="str">
        <f>"308210"</f>
        <v>308210</v>
      </c>
      <c r="B346" s="3" t="str">
        <f>"81983677328"</f>
        <v>81983677328</v>
      </c>
      <c r="C346" t="str">
        <f>"EVERYDAY COUNTER-CONGRATS FOR ANYONE PKG/6-91989"</f>
        <v>EVERYDAY COUNTER-CONGRATS FOR ANYONE PKG/6-91989</v>
      </c>
      <c r="D346" s="3" t="str">
        <f>"91989"</f>
        <v>91989</v>
      </c>
      <c r="E346" s="3" t="str">
        <f>"ED16C111"</f>
        <v>ED16C111</v>
      </c>
    </row>
    <row r="347" spans="1:5" x14ac:dyDescent="0.25">
      <c r="A347" s="3" t="str">
        <f>"308088"</f>
        <v>308088</v>
      </c>
      <c r="B347" s="3" t="str">
        <f>"81983772054"</f>
        <v>81983772054</v>
      </c>
      <c r="C347" t="str">
        <f>"EVERYDAY COUNTER-AS YOU MOVE PKG/6-J9917"</f>
        <v>EVERYDAY COUNTER-AS YOU MOVE PKG/6-J9917</v>
      </c>
      <c r="D347" s="3" t="str">
        <f>"J9917"</f>
        <v>J9917</v>
      </c>
      <c r="E347" s="3" t="str">
        <f>"ED16C112"</f>
        <v>ED16C112</v>
      </c>
    </row>
    <row r="348" spans="1:5" x14ac:dyDescent="0.25">
      <c r="A348" s="3" t="str">
        <f>"345253"</f>
        <v>345253</v>
      </c>
      <c r="B348" s="3" t="str">
        <f>"81983793745"</f>
        <v>81983793745</v>
      </c>
      <c r="C348" t="str">
        <f>"EVERYDAY COUNTER-HOUSEWARMING PKG/6"</f>
        <v>EVERYDAY COUNTER-HOUSEWARMING PKG/6</v>
      </c>
      <c r="D348" s="3" t="str">
        <f>"U2590"</f>
        <v>U2590</v>
      </c>
      <c r="E348" s="3" t="str">
        <f>"ED16C113"</f>
        <v>ED16C113</v>
      </c>
    </row>
    <row r="349" spans="1:5" x14ac:dyDescent="0.25">
      <c r="A349" s="3" t="str">
        <f>"308091"</f>
        <v>308091</v>
      </c>
      <c r="B349" s="3" t="str">
        <f>"81983772122"</f>
        <v>81983772122</v>
      </c>
      <c r="C349" t="str">
        <f>"EVERYDAY COUNTER-CHURCH FAMILY WELCOME-J9924"</f>
        <v>EVERYDAY COUNTER-CHURCH FAMILY WELCOME-J9924</v>
      </c>
      <c r="D349" s="3" t="str">
        <f>"J9924"</f>
        <v>J9924</v>
      </c>
      <c r="E349" s="3" t="str">
        <f>"ED16C114"</f>
        <v>ED16C114</v>
      </c>
    </row>
    <row r="350" spans="1:5" x14ac:dyDescent="0.25">
      <c r="A350" s="3" t="str">
        <f>"345242"</f>
        <v>345242</v>
      </c>
      <c r="B350" s="3" t="str">
        <f>"81983793653"</f>
        <v>81983793653</v>
      </c>
      <c r="C350" t="str">
        <f>"EVERYDAY COUNTER-ENCOURAGEMENT PKG/6-U2581"</f>
        <v>EVERYDAY COUNTER-ENCOURAGEMENT PKG/6-U2581</v>
      </c>
      <c r="D350" s="3" t="str">
        <f>"U2581"</f>
        <v>U2581</v>
      </c>
      <c r="E350" s="3" t="str">
        <f>"ED16D001"</f>
        <v>ED16D001</v>
      </c>
    </row>
    <row r="351" spans="1:5" x14ac:dyDescent="0.25">
      <c r="A351" s="3" t="str">
        <f>"307977"</f>
        <v>307977</v>
      </c>
      <c r="B351" s="3" t="str">
        <f>"81983771873"</f>
        <v>81983771873</v>
      </c>
      <c r="C351" t="str">
        <f>"EVERYDAY COUNTER-ENC-FOR ANYONE (Pk/6)-J9899"</f>
        <v>EVERYDAY COUNTER-ENC-FOR ANYONE (Pk/6)-J9899</v>
      </c>
      <c r="D351" s="3" t="str">
        <f>"J9899"</f>
        <v>J9899</v>
      </c>
      <c r="E351" s="3" t="str">
        <f>"ED16D002"</f>
        <v>ED16D002</v>
      </c>
    </row>
    <row r="352" spans="1:5" x14ac:dyDescent="0.25">
      <c r="A352" s="3" t="str">
        <f>"279597"</f>
        <v>279597</v>
      </c>
      <c r="B352" s="3" t="str">
        <f>"81983757471"</f>
        <v>81983757471</v>
      </c>
      <c r="C352" t="str">
        <f>"EVERYDAY COUNTER-PRAYING FOR YOU PKG/6-J8195"</f>
        <v>EVERYDAY COUNTER-PRAYING FOR YOU PKG/6-J8195</v>
      </c>
      <c r="D352" s="3" t="str">
        <f>"J8195"</f>
        <v>J8195</v>
      </c>
      <c r="E352" s="3" t="str">
        <f>"ED16D003"</f>
        <v>ED16D003</v>
      </c>
    </row>
    <row r="353" spans="1:5" x14ac:dyDescent="0.25">
      <c r="A353" s="3" t="str">
        <f>"345278"</f>
        <v>345278</v>
      </c>
      <c r="B353" s="3" t="str">
        <f>"81983794650"</f>
        <v>81983794650</v>
      </c>
      <c r="C353" t="str">
        <f>"EVERYDAY COUNTER-ENCOURAGEMENT PKG/6-U2684"</f>
        <v>EVERYDAY COUNTER-ENCOURAGEMENT PKG/6-U2684</v>
      </c>
      <c r="D353" s="3" t="s">
        <v>49</v>
      </c>
      <c r="E353" s="3" t="str">
        <f>"ED16D004"</f>
        <v>ED16D004</v>
      </c>
    </row>
    <row r="354" spans="1:5" x14ac:dyDescent="0.25">
      <c r="A354" s="3" t="str">
        <f>"345279"</f>
        <v>345279</v>
      </c>
      <c r="B354" s="3" t="str">
        <f>"81983794667"</f>
        <v>81983794667</v>
      </c>
      <c r="C354" t="str">
        <f>"EVERYDAY COUNTER-ENCOURAGEMENT PKG/6-U2685"</f>
        <v>EVERYDAY COUNTER-ENCOURAGEMENT PKG/6-U2685</v>
      </c>
      <c r="D354" s="3" t="s">
        <v>50</v>
      </c>
      <c r="E354" s="3" t="str">
        <f>"ED16D005"</f>
        <v>ED16D005</v>
      </c>
    </row>
    <row r="355" spans="1:5" x14ac:dyDescent="0.25">
      <c r="A355" s="3" t="str">
        <f>"298719"</f>
        <v>298719</v>
      </c>
      <c r="B355" s="3" t="str">
        <f>"81983771996"</f>
        <v>81983771996</v>
      </c>
      <c r="C355" t="str">
        <f>"EVERYDAY COUNTER-GET WELL-CHILD-J9911"</f>
        <v>EVERYDAY COUNTER-GET WELL-CHILD-J9911</v>
      </c>
      <c r="D355" s="3" t="str">
        <f>"J9911"</f>
        <v>J9911</v>
      </c>
      <c r="E355" s="3" t="str">
        <f>"ED16D006"</f>
        <v>ED16D006</v>
      </c>
    </row>
    <row r="356" spans="1:5" x14ac:dyDescent="0.25">
      <c r="A356" s="3" t="str">
        <f>"345259"</f>
        <v>345259</v>
      </c>
      <c r="B356" s="3" t="str">
        <f>"81983793783"</f>
        <v>81983793783</v>
      </c>
      <c r="C356" t="str">
        <f>"EVERYDAY COUNTER-SYMPATHY PKG/6-U2594"</f>
        <v>EVERYDAY COUNTER-SYMPATHY PKG/6-U2594</v>
      </c>
      <c r="D356" s="3" t="str">
        <f>"U2594"</f>
        <v>U2594</v>
      </c>
      <c r="E356" s="3" t="str">
        <f>"ED16D007"</f>
        <v>ED16D007</v>
      </c>
    </row>
    <row r="357" spans="1:5" x14ac:dyDescent="0.25">
      <c r="A357" s="3" t="str">
        <f>"298811"</f>
        <v>298811</v>
      </c>
      <c r="B357" s="3" t="str">
        <f>"81983772252"</f>
        <v>81983772252</v>
      </c>
      <c r="C357" t="str">
        <f>"EVERYDAY COUNTER-SYMPATHY - LOSS OF MOM-J9937"</f>
        <v>EVERYDAY COUNTER-SYMPATHY - LOSS OF MOM-J9937</v>
      </c>
      <c r="D357" s="3" t="str">
        <f>"J9937"</f>
        <v>J9937</v>
      </c>
      <c r="E357" s="3" t="str">
        <f>"ED16D008"</f>
        <v>ED16D008</v>
      </c>
    </row>
    <row r="358" spans="1:5" x14ac:dyDescent="0.25">
      <c r="A358" s="3" t="str">
        <f>"308048"</f>
        <v>308048</v>
      </c>
      <c r="B358" s="3" t="str">
        <f>"81983773402"</f>
        <v>81983773402</v>
      </c>
      <c r="C358" t="str">
        <f>"EVERYDAY COUNTER-ENCOURAGEMENT-72801"</f>
        <v>EVERYDAY COUNTER-ENCOURAGEMENT-72801</v>
      </c>
      <c r="D358" s="3" t="str">
        <f>"72801"</f>
        <v>72801</v>
      </c>
      <c r="E358" s="3" t="str">
        <f>"ED16D009"</f>
        <v>ED16D009</v>
      </c>
    </row>
    <row r="359" spans="1:5" x14ac:dyDescent="0.25">
      <c r="A359" s="3" t="str">
        <f>"308050"</f>
        <v>308050</v>
      </c>
      <c r="B359" s="3" t="str">
        <f>"81983773396"</f>
        <v>81983773396</v>
      </c>
      <c r="C359" t="str">
        <f>"EVERYDAY COUNTER-ENCOURAGEMENT-72802"</f>
        <v>EVERYDAY COUNTER-ENCOURAGEMENT-72802</v>
      </c>
      <c r="D359" s="3" t="str">
        <f>"72802"</f>
        <v>72802</v>
      </c>
      <c r="E359" s="3" t="str">
        <f>"ED16D010"</f>
        <v>ED16D010</v>
      </c>
    </row>
    <row r="360" spans="1:5" x14ac:dyDescent="0.25">
      <c r="A360" s="3" t="str">
        <f>"279599"</f>
        <v>279599</v>
      </c>
      <c r="B360" s="3" t="str">
        <f>"81983757488"</f>
        <v>81983757488</v>
      </c>
      <c r="C360" t="str">
        <f>"EVERYDAY COUNTER-PRAYING FOR YOU PKG/6-J8196"</f>
        <v>EVERYDAY COUNTER-PRAYING FOR YOU PKG/6-J8196</v>
      </c>
      <c r="D360" s="3" t="str">
        <f>"J8196"</f>
        <v>J8196</v>
      </c>
      <c r="E360" s="3" t="str">
        <f>"ED16D011"</f>
        <v>ED16D011</v>
      </c>
    </row>
    <row r="361" spans="1:5" x14ac:dyDescent="0.25">
      <c r="A361" s="3" t="str">
        <f>"345280"</f>
        <v>345280</v>
      </c>
      <c r="B361" s="3" t="str">
        <f>"81983794674"</f>
        <v>81983794674</v>
      </c>
      <c r="C361" t="str">
        <f>"EVERYDAY COUNTER-ENCOURAGEMENT PKG/6-U2686"</f>
        <v>EVERYDAY COUNTER-ENCOURAGEMENT PKG/6-U2686</v>
      </c>
      <c r="D361" s="3" t="s">
        <v>51</v>
      </c>
      <c r="E361" s="3" t="str">
        <f>"ED16D012"</f>
        <v>ED16D012</v>
      </c>
    </row>
    <row r="362" spans="1:5" x14ac:dyDescent="0.25">
      <c r="A362" s="3" t="str">
        <f>"345281"</f>
        <v>345281</v>
      </c>
      <c r="B362" s="3" t="str">
        <f>"81983794681"</f>
        <v>81983794681</v>
      </c>
      <c r="C362" t="str">
        <f>"EVERYDAY COUNTER-ENCOURAGEMENT PKG/6-U2687"</f>
        <v>EVERYDAY COUNTER-ENCOURAGEMENT PKG/6-U2687</v>
      </c>
      <c r="D362" s="3" t="s">
        <v>52</v>
      </c>
      <c r="E362" s="3" t="str">
        <f>"ED16D013"</f>
        <v>ED16D013</v>
      </c>
    </row>
    <row r="363" spans="1:5" x14ac:dyDescent="0.25">
      <c r="A363" s="3" t="str">
        <f>"298794"</f>
        <v>298794</v>
      </c>
      <c r="B363" s="3" t="str">
        <f>"81983772009"</f>
        <v>81983772009</v>
      </c>
      <c r="C363" t="str">
        <f>"EVERYDAY COUNTER-GET WELL FOR ANYONE-J9912"</f>
        <v>EVERYDAY COUNTER-GET WELL FOR ANYONE-J9912</v>
      </c>
      <c r="D363" s="3" t="str">
        <f>"J9912"</f>
        <v>J9912</v>
      </c>
      <c r="E363" s="3" t="str">
        <f>"ED16D014"</f>
        <v>ED16D014</v>
      </c>
    </row>
    <row r="364" spans="1:5" x14ac:dyDescent="0.25">
      <c r="A364" s="3" t="str">
        <f>"298735"</f>
        <v>298735</v>
      </c>
      <c r="B364" s="3" t="str">
        <f>"81983774430"</f>
        <v>81983774430</v>
      </c>
      <c r="C364" t="str">
        <f>"EVERYDAY COUNTER-SYM-FOR ANYONE-11706"</f>
        <v>EVERYDAY COUNTER-SYM-FOR ANYONE-11706</v>
      </c>
      <c r="D364" s="3" t="str">
        <f>"11706"</f>
        <v>11706</v>
      </c>
      <c r="E364" s="3" t="str">
        <f>"ED16D015"</f>
        <v>ED16D015</v>
      </c>
    </row>
    <row r="365" spans="1:5" x14ac:dyDescent="0.25">
      <c r="A365" s="3" t="str">
        <f>"308097"</f>
        <v>308097</v>
      </c>
      <c r="B365" s="3" t="str">
        <f>"81983567988"</f>
        <v>81983567988</v>
      </c>
      <c r="C365" t="str">
        <f>"EVERYDAY COUNTER-SYMPATHY - LOSS OF MOM-75412"</f>
        <v>EVERYDAY COUNTER-SYMPATHY - LOSS OF MOM-75412</v>
      </c>
      <c r="D365" s="3" t="str">
        <f>"75412"</f>
        <v>75412</v>
      </c>
      <c r="E365" s="3" t="str">
        <f>"ED16D016"</f>
        <v>ED16D016</v>
      </c>
    </row>
    <row r="366" spans="1:5" x14ac:dyDescent="0.25">
      <c r="A366" s="3" t="str">
        <f>"401608"</f>
        <v>401608</v>
      </c>
      <c r="B366" s="3" t="str">
        <f>"81983612534"</f>
        <v>81983612534</v>
      </c>
      <c r="C366" t="str">
        <f>"EVERYDAY COUNTER-ENCOURAGEMENT - FOR ANYONE-44144"</f>
        <v>EVERYDAY COUNTER-ENCOURAGEMENT - FOR ANYONE-44144</v>
      </c>
      <c r="D366" s="3" t="str">
        <f>"44144"</f>
        <v>44144</v>
      </c>
      <c r="E366" s="3" t="str">
        <f>"ED16D017"</f>
        <v>ED16D017</v>
      </c>
    </row>
    <row r="367" spans="1:5" x14ac:dyDescent="0.25">
      <c r="A367" s="3" t="str">
        <f>"308052"</f>
        <v>308052</v>
      </c>
      <c r="B367" s="3" t="str">
        <f>"81983773389"</f>
        <v>81983773389</v>
      </c>
      <c r="C367" t="str">
        <f>"EVERYDAY COUNTER-ENCOURAGEMENT-72803"</f>
        <v>EVERYDAY COUNTER-ENCOURAGEMENT-72803</v>
      </c>
      <c r="D367" s="3" t="str">
        <f>"72803"</f>
        <v>72803</v>
      </c>
      <c r="E367" s="3" t="str">
        <f>"ED16D018"</f>
        <v>ED16D018</v>
      </c>
    </row>
    <row r="368" spans="1:5" x14ac:dyDescent="0.25">
      <c r="A368" s="3" t="str">
        <f>"308217"</f>
        <v>308217</v>
      </c>
      <c r="B368" s="3" t="str">
        <f>"81983677397"</f>
        <v>81983677397</v>
      </c>
      <c r="C368" t="str">
        <f>"EVERYDAY COUNTER-PRAYING FOR YOU PKG/6-91996"</f>
        <v>EVERYDAY COUNTER-PRAYING FOR YOU PKG/6-91996</v>
      </c>
      <c r="D368" s="3" t="str">
        <f>"91996"</f>
        <v>91996</v>
      </c>
      <c r="E368" s="3" t="str">
        <f>"ED16D019"</f>
        <v>ED16D019</v>
      </c>
    </row>
    <row r="369" spans="1:5" x14ac:dyDescent="0.25">
      <c r="A369" s="3" t="str">
        <f>"345282"</f>
        <v>345282</v>
      </c>
      <c r="B369" s="3" t="str">
        <f>"81983794698"</f>
        <v>81983794698</v>
      </c>
      <c r="C369" t="str">
        <f>"EVERYDAY COUNTER-ENCOURAGEMENT PKG/6-U2688"</f>
        <v>EVERYDAY COUNTER-ENCOURAGEMENT PKG/6-U2688</v>
      </c>
      <c r="D369" s="3" t="s">
        <v>53</v>
      </c>
      <c r="E369" s="3" t="str">
        <f>"ED16D020"</f>
        <v>ED16D020</v>
      </c>
    </row>
    <row r="370" spans="1:5" x14ac:dyDescent="0.25">
      <c r="A370" s="3" t="str">
        <f>"345283"</f>
        <v>345283</v>
      </c>
      <c r="B370" s="3" t="str">
        <f>"81983794704"</f>
        <v>81983794704</v>
      </c>
      <c r="C370" t="str">
        <f>"EVERYDAY COUNTER-ENCOURAGEMENT PKG/6-U2689"</f>
        <v>EVERYDAY COUNTER-ENCOURAGEMENT PKG/6-U2689</v>
      </c>
      <c r="D370" s="3" t="s">
        <v>54</v>
      </c>
      <c r="E370" s="3" t="str">
        <f>"ED16D021"</f>
        <v>ED16D021</v>
      </c>
    </row>
    <row r="371" spans="1:5" x14ac:dyDescent="0.25">
      <c r="A371" s="3" t="str">
        <f>"345244"</f>
        <v>345244</v>
      </c>
      <c r="B371" s="3" t="str">
        <f>"81983793677"</f>
        <v>81983793677</v>
      </c>
      <c r="C371" t="str">
        <f>"EVERYDAY COUNTER-GET WELL PKG/6-U2583"</f>
        <v>EVERYDAY COUNTER-GET WELL PKG/6-U2583</v>
      </c>
      <c r="D371" s="3" t="str">
        <f>"U2583"</f>
        <v>U2583</v>
      </c>
      <c r="E371" s="3" t="str">
        <f>"ED16D022"</f>
        <v>ED16D022</v>
      </c>
    </row>
    <row r="372" spans="1:5" x14ac:dyDescent="0.25">
      <c r="A372" s="3" t="str">
        <f>"298733"</f>
        <v>298733</v>
      </c>
      <c r="B372" s="3" t="str">
        <f>"81983774423"</f>
        <v>81983774423</v>
      </c>
      <c r="C372" t="str">
        <f>"EVERYDAY COUNTER-SYM-FOR ANYONE (PACK OF 6)"</f>
        <v>EVERYDAY COUNTER-SYM-FOR ANYONE (PACK OF 6)</v>
      </c>
      <c r="D372" s="3" t="str">
        <f>"11701"</f>
        <v>11701</v>
      </c>
      <c r="E372" s="3" t="str">
        <f>"ED16D023"</f>
        <v>ED16D023</v>
      </c>
    </row>
    <row r="373" spans="1:5" x14ac:dyDescent="0.25">
      <c r="A373" s="3" t="str">
        <f>"298812"</f>
        <v>298812</v>
      </c>
      <c r="B373" s="3" t="str">
        <f>"81983603075"</f>
        <v>81983603075</v>
      </c>
      <c r="C373" t="str">
        <f>"EVERYDAY COUNTER-SYMPATHY - LOSS OF MOM-43989"</f>
        <v>EVERYDAY COUNTER-SYMPATHY - LOSS OF MOM-43989</v>
      </c>
      <c r="D373" s="3" t="str">
        <f>"43989"</f>
        <v>43989</v>
      </c>
      <c r="E373" s="3" t="str">
        <f>"ED16D024"</f>
        <v>ED16D024</v>
      </c>
    </row>
    <row r="374" spans="1:5" x14ac:dyDescent="0.25">
      <c r="A374" s="3" t="str">
        <f>"307964"</f>
        <v>307964</v>
      </c>
      <c r="B374" s="3" t="str">
        <f>"81983618475"</f>
        <v>81983618475</v>
      </c>
      <c r="C374" t="str">
        <f>"EVERYDAY COUNTER-FRIENDSHIP - ANYONE-55105"</f>
        <v>EVERYDAY COUNTER-FRIENDSHIP - ANYONE-55105</v>
      </c>
      <c r="D374" s="3" t="str">
        <f>"55105"</f>
        <v>55105</v>
      </c>
      <c r="E374" s="3" t="str">
        <f>"ED16D025"</f>
        <v>ED16D025</v>
      </c>
    </row>
    <row r="375" spans="1:5" x14ac:dyDescent="0.25">
      <c r="A375" s="3" t="str">
        <f>"307953"</f>
        <v>307953</v>
      </c>
      <c r="B375" s="3" t="str">
        <f>"81983618154"</f>
        <v>81983618154</v>
      </c>
      <c r="C375" t="str">
        <f>"EVERYDAY COUNTER-ENCOURAGEMENT - ANYONE-52030"</f>
        <v>EVERYDAY COUNTER-ENCOURAGEMENT - ANYONE-52030</v>
      </c>
      <c r="D375" s="3" t="str">
        <f>"52030"</f>
        <v>52030</v>
      </c>
      <c r="E375" s="3" t="str">
        <f>"ED16D026"</f>
        <v>ED16D026</v>
      </c>
    </row>
    <row r="376" spans="1:5" x14ac:dyDescent="0.25">
      <c r="A376" s="3" t="str">
        <f>"308085"</f>
        <v>308085</v>
      </c>
      <c r="B376" s="3" t="str">
        <f>"81983589195"</f>
        <v>81983589195</v>
      </c>
      <c r="C376" t="str">
        <f>"EVERYDAY COUNTER-PFY - FOR ANYONE-75294"</f>
        <v>EVERYDAY COUNTER-PFY - FOR ANYONE-75294</v>
      </c>
      <c r="D376" s="3" t="str">
        <f>"75294"</f>
        <v>75294</v>
      </c>
      <c r="E376" s="3" t="str">
        <f>"ED16D027"</f>
        <v>ED16D027</v>
      </c>
    </row>
    <row r="377" spans="1:5" x14ac:dyDescent="0.25">
      <c r="A377" s="3" t="str">
        <f>"345284"</f>
        <v>345284</v>
      </c>
      <c r="B377" s="3" t="str">
        <f>"81983794711"</f>
        <v>81983794711</v>
      </c>
      <c r="C377" t="str">
        <f>"EVERYDAY COUNTER-ENCOURAGEMENT PKG/6-U2690"</f>
        <v>EVERYDAY COUNTER-ENCOURAGEMENT PKG/6-U2690</v>
      </c>
      <c r="D377" s="3" t="s">
        <v>55</v>
      </c>
      <c r="E377" s="3" t="str">
        <f>"ED16D028"</f>
        <v>ED16D028</v>
      </c>
    </row>
    <row r="378" spans="1:5" x14ac:dyDescent="0.25">
      <c r="A378" s="3" t="str">
        <f>"345285"</f>
        <v>345285</v>
      </c>
      <c r="B378" s="3" t="str">
        <f>"81983794728"</f>
        <v>81983794728</v>
      </c>
      <c r="C378" t="str">
        <f>"EVERYDAY COUNTER-ENCOURAGEMENT PKG/6-U2691"</f>
        <v>EVERYDAY COUNTER-ENCOURAGEMENT PKG/6-U2691</v>
      </c>
      <c r="D378" s="3" t="s">
        <v>56</v>
      </c>
      <c r="E378" s="3" t="str">
        <f>"ED16D029"</f>
        <v>ED16D029</v>
      </c>
    </row>
    <row r="379" spans="1:5" x14ac:dyDescent="0.25">
      <c r="A379" s="3" t="str">
        <f>"345247"</f>
        <v>345247</v>
      </c>
      <c r="B379" s="3" t="str">
        <f>"81983793684"</f>
        <v>81983793684</v>
      </c>
      <c r="C379" t="str">
        <f>"EVERYDAY COUNTER-GET WELL PKG/6-U2584"</f>
        <v>EVERYDAY COUNTER-GET WELL PKG/6-U2584</v>
      </c>
      <c r="D379" s="3" t="str">
        <f>"U2584"</f>
        <v>U2584</v>
      </c>
      <c r="E379" s="3" t="str">
        <f>"ED16D030"</f>
        <v>ED16D030</v>
      </c>
    </row>
    <row r="380" spans="1:5" x14ac:dyDescent="0.25">
      <c r="A380" s="3" t="str">
        <f>"298738"</f>
        <v>298738</v>
      </c>
      <c r="B380" s="3" t="str">
        <f>"81983593161"</f>
        <v>81983593161</v>
      </c>
      <c r="C380" t="str">
        <f>"EVERYDAY COUNTER-SYM-FOR ANYONE-11712"</f>
        <v>EVERYDAY COUNTER-SYM-FOR ANYONE-11712</v>
      </c>
      <c r="D380" s="3" t="str">
        <f>"11712"</f>
        <v>11712</v>
      </c>
      <c r="E380" s="3" t="str">
        <f>"ED16D031"</f>
        <v>ED16D031</v>
      </c>
    </row>
    <row r="381" spans="1:5" x14ac:dyDescent="0.25">
      <c r="A381" s="3" t="str">
        <f>"298813"</f>
        <v>298813</v>
      </c>
      <c r="B381" s="3" t="str">
        <f>"81983772238"</f>
        <v>81983772238</v>
      </c>
      <c r="C381" t="str">
        <f>"EVERYDAY COUNTER-SYMPATHY - LOSS OF DAD-J9935"</f>
        <v>EVERYDAY COUNTER-SYMPATHY - LOSS OF DAD-J9935</v>
      </c>
      <c r="D381" s="3" t="str">
        <f>"J9935"</f>
        <v>J9935</v>
      </c>
      <c r="E381" s="3" t="str">
        <f>"ED16D032"</f>
        <v>ED16D032</v>
      </c>
    </row>
    <row r="382" spans="1:5" x14ac:dyDescent="0.25">
      <c r="A382" s="3" t="str">
        <f>"345243"</f>
        <v>345243</v>
      </c>
      <c r="B382" s="3" t="str">
        <f>"81983793660"</f>
        <v>81983793660</v>
      </c>
      <c r="C382" t="str">
        <f>"EVERYDAY COUNTER-FRIENDSHIP PKG/6-U2582"</f>
        <v>EVERYDAY COUNTER-FRIENDSHIP PKG/6-U2582</v>
      </c>
      <c r="D382" s="3" t="str">
        <f>"U2582"</f>
        <v>U2582</v>
      </c>
      <c r="E382" s="3" t="str">
        <f>"ED16D033"</f>
        <v>ED16D033</v>
      </c>
    </row>
    <row r="383" spans="1:5" x14ac:dyDescent="0.25">
      <c r="A383" s="3" t="str">
        <f>"308054"</f>
        <v>308054</v>
      </c>
      <c r="B383" s="3" t="str">
        <f>"81983643170"</f>
        <v>81983643170</v>
      </c>
      <c r="C383" t="str">
        <f>"EVERYDAY COUNTER-ENCOURAGEMENT-72805"</f>
        <v>EVERYDAY COUNTER-ENCOURAGEMENT-72805</v>
      </c>
      <c r="D383" s="3" t="str">
        <f>"72805"</f>
        <v>72805</v>
      </c>
      <c r="E383" s="3" t="str">
        <f>"ED16D034"</f>
        <v>ED16D034</v>
      </c>
    </row>
    <row r="384" spans="1:5" x14ac:dyDescent="0.25">
      <c r="A384" s="3" t="str">
        <f>"345251"</f>
        <v>345251</v>
      </c>
      <c r="B384" s="3" t="str">
        <f>"81983793721"</f>
        <v>81983793721</v>
      </c>
      <c r="C384" t="str">
        <f>"EVERYDAY COUNTER-PRAYING FOR YOU PKG/6-U2588"</f>
        <v>EVERYDAY COUNTER-PRAYING FOR YOU PKG/6-U2588</v>
      </c>
      <c r="D384" s="3" t="str">
        <f>"U2588"</f>
        <v>U2588</v>
      </c>
      <c r="E384" s="3" t="str">
        <f>"ED16D035"</f>
        <v>ED16D035</v>
      </c>
    </row>
    <row r="385" spans="1:5" x14ac:dyDescent="0.25">
      <c r="A385" s="3" t="str">
        <f>"279600"</f>
        <v>279600</v>
      </c>
      <c r="B385" s="3" t="str">
        <f>"81983757495"</f>
        <v>81983757495</v>
      </c>
      <c r="C385" t="str">
        <f>"EVERYDAY COUNTER-PRAYING FOR YOU PKG/6-J8197"</f>
        <v>EVERYDAY COUNTER-PRAYING FOR YOU PKG/6-J8197</v>
      </c>
      <c r="D385" s="3" t="str">
        <f>"J8197"</f>
        <v>J8197</v>
      </c>
      <c r="E385" s="3" t="str">
        <f>"ED16D036"</f>
        <v>ED16D036</v>
      </c>
    </row>
    <row r="386" spans="1:5" x14ac:dyDescent="0.25">
      <c r="A386" s="3" t="str">
        <f>"345248"</f>
        <v>345248</v>
      </c>
      <c r="B386" s="3" t="str">
        <f>"81983793691"</f>
        <v>81983793691</v>
      </c>
      <c r="C386" t="str">
        <f>"EVERYDAY COUNTER-GET WELL HUMOR PKG/6"</f>
        <v>EVERYDAY COUNTER-GET WELL HUMOR PKG/6</v>
      </c>
      <c r="D386" s="3" t="str">
        <f>"U2585"</f>
        <v>U2585</v>
      </c>
      <c r="E386" s="3" t="str">
        <f>"ED16D037"</f>
        <v>ED16D037</v>
      </c>
    </row>
    <row r="387" spans="1:5" x14ac:dyDescent="0.25">
      <c r="A387" s="3" t="str">
        <f>"279593"</f>
        <v>279593</v>
      </c>
      <c r="B387" s="3" t="str">
        <f>"81983757440"</f>
        <v>81983757440</v>
      </c>
      <c r="C387" t="str">
        <f>"EVERYDAY COUNTER-GET WELL PKG/6-J8192"</f>
        <v>EVERYDAY COUNTER-GET WELL PKG/6-J8192</v>
      </c>
      <c r="D387" s="3" t="str">
        <f>"J8192"</f>
        <v>J8192</v>
      </c>
      <c r="E387" s="3" t="str">
        <f>"ED16D038"</f>
        <v>ED16D038</v>
      </c>
    </row>
    <row r="388" spans="1:5" x14ac:dyDescent="0.25">
      <c r="A388" s="3" t="str">
        <f>"308072"</f>
        <v>308072</v>
      </c>
      <c r="B388" s="3" t="str">
        <f>"81983774454"</f>
        <v>81983774454</v>
      </c>
      <c r="C388" t="str">
        <f>"EVERYDAY COUNTER-SYMPATHY-72852"</f>
        <v>EVERYDAY COUNTER-SYMPATHY-72852</v>
      </c>
      <c r="D388" s="3" t="str">
        <f>"72852"</f>
        <v>72852</v>
      </c>
      <c r="E388" s="3" t="str">
        <f>"ED16D039"</f>
        <v>ED16D039</v>
      </c>
    </row>
    <row r="389" spans="1:5" x14ac:dyDescent="0.25">
      <c r="A389" s="3" t="str">
        <f>"307891"</f>
        <v>307891</v>
      </c>
      <c r="B389" s="3" t="str">
        <f>"81983513039"</f>
        <v>81983513039</v>
      </c>
      <c r="C389" t="str">
        <f>"EVERYDAY COUNTER-SYMPATHY - LOSS OF DAD-43994"</f>
        <v>EVERYDAY COUNTER-SYMPATHY - LOSS OF DAD-43994</v>
      </c>
      <c r="D389" s="3" t="str">
        <f>"43994"</f>
        <v>43994</v>
      </c>
      <c r="E389" s="3" t="str">
        <f>"ED16D040"</f>
        <v>ED16D040</v>
      </c>
    </row>
    <row r="390" spans="1:5" x14ac:dyDescent="0.25">
      <c r="A390" s="3" t="str">
        <f>"308243"</f>
        <v>308243</v>
      </c>
      <c r="B390" s="3" t="str">
        <f>"81983678868"</f>
        <v>81983678868</v>
      </c>
      <c r="C390" t="str">
        <f>"EVERYDAY COUNTER-FRIENDSHIP PKG/6-92183"</f>
        <v>EVERYDAY COUNTER-FRIENDSHIP PKG/6-92183</v>
      </c>
      <c r="D390" s="3" t="str">
        <f>"92183"</f>
        <v>92183</v>
      </c>
      <c r="E390" s="3" t="str">
        <f>"ED16D041"</f>
        <v>ED16D041</v>
      </c>
    </row>
    <row r="391" spans="1:5" x14ac:dyDescent="0.25">
      <c r="A391" s="3" t="str">
        <f>"307898"</f>
        <v>307898</v>
      </c>
      <c r="B391" s="3" t="str">
        <f>"81983771880"</f>
        <v>81983771880</v>
      </c>
      <c r="C391" t="str">
        <f>"EVERYDAY COUNTER-ENC-FOR ANYONE (Pk/6)-J9900"</f>
        <v>EVERYDAY COUNTER-ENC-FOR ANYONE (Pk/6)-J9900</v>
      </c>
      <c r="D391" s="3" t="str">
        <f>"J9900"</f>
        <v>J9900</v>
      </c>
      <c r="E391" s="3" t="str">
        <f>"ED16D042"</f>
        <v>ED16D042</v>
      </c>
    </row>
    <row r="392" spans="1:5" x14ac:dyDescent="0.25">
      <c r="A392" s="3" t="str">
        <f>"308076"</f>
        <v>308076</v>
      </c>
      <c r="B392" s="3" t="str">
        <f>"81983773419"</f>
        <v>81983773419</v>
      </c>
      <c r="C392" t="str">
        <f>"EVERYDAY COUNTER-ENCOURAGEMENT-72900"</f>
        <v>EVERYDAY COUNTER-ENCOURAGEMENT-72900</v>
      </c>
      <c r="D392" s="3" t="str">
        <f>"72900"</f>
        <v>72900</v>
      </c>
      <c r="E392" s="3" t="str">
        <f>"ED16D043"</f>
        <v>ED16D043</v>
      </c>
    </row>
    <row r="393" spans="1:5" x14ac:dyDescent="0.25">
      <c r="A393" s="3" t="str">
        <f>"345250"</f>
        <v>345250</v>
      </c>
      <c r="B393" s="3" t="str">
        <f>"81983793714"</f>
        <v>81983793714</v>
      </c>
      <c r="C393" t="str">
        <f>"EVERYDAY COUNTER-PRAYING FOR YOU PKG/6-U2587"</f>
        <v>EVERYDAY COUNTER-PRAYING FOR YOU PKG/6-U2587</v>
      </c>
      <c r="D393" s="3" t="str">
        <f>"U2587"</f>
        <v>U2587</v>
      </c>
      <c r="E393" s="3" t="str">
        <f>"ED16D044"</f>
        <v>ED16D044</v>
      </c>
    </row>
    <row r="394" spans="1:5" x14ac:dyDescent="0.25">
      <c r="A394" s="3" t="str">
        <f>"308455"</f>
        <v>308455</v>
      </c>
      <c r="B394" s="3" t="str">
        <f>"81983721885"</f>
        <v>81983721885</v>
      </c>
      <c r="C394" t="str">
        <f>"EVERYDAY COUNTER-GET WELL/A CHEERFUL HEART  PKG/6-J3440"</f>
        <v>EVERYDAY COUNTER-GET WELL/A CHEERFUL HEART  PKG/6-J3440</v>
      </c>
      <c r="D394" s="3" t="str">
        <f>"J3440"</f>
        <v>J3440</v>
      </c>
      <c r="E394" s="3" t="str">
        <f>"ED16D045"</f>
        <v>ED16D045</v>
      </c>
    </row>
    <row r="395" spans="1:5" x14ac:dyDescent="0.25">
      <c r="A395" s="3" t="str">
        <f>"307893"</f>
        <v>307893</v>
      </c>
      <c r="B395" s="3" t="str">
        <f>"81983678462"</f>
        <v>81983678462</v>
      </c>
      <c r="C395" t="str">
        <f>"EVERYDAY COUNTER-GET WELL ANYONE-44125"</f>
        <v>EVERYDAY COUNTER-GET WELL ANYONE-44125</v>
      </c>
      <c r="D395" s="3" t="str">
        <f>"44125"</f>
        <v>44125</v>
      </c>
      <c r="E395" s="3" t="str">
        <f>"ED16D046"</f>
        <v>ED16D046</v>
      </c>
    </row>
    <row r="396" spans="1:5" x14ac:dyDescent="0.25">
      <c r="A396" s="3" t="str">
        <f>"298736"</f>
        <v>298736</v>
      </c>
      <c r="B396" s="3" t="str">
        <f>"81983593123"</f>
        <v>81983593123</v>
      </c>
      <c r="C396" t="str">
        <f>"EVERYDAY COUNTER-SYM-FOR ANYONE-11708"</f>
        <v>EVERYDAY COUNTER-SYM-FOR ANYONE-11708</v>
      </c>
      <c r="D396" s="3" t="str">
        <f>"11708"</f>
        <v>11708</v>
      </c>
      <c r="E396" s="3" t="str">
        <f>"ED16D047"</f>
        <v>ED16D047</v>
      </c>
    </row>
    <row r="397" spans="1:5" x14ac:dyDescent="0.25">
      <c r="A397" s="3" t="str">
        <f>"307890"</f>
        <v>307890</v>
      </c>
      <c r="B397" s="3" t="str">
        <f>"81983513022"</f>
        <v>81983513022</v>
      </c>
      <c r="C397" t="str">
        <f>"EVERYDAY COUNTER-SYMPATHY - LOSS OF DAD-43993"</f>
        <v>EVERYDAY COUNTER-SYMPATHY - LOSS OF DAD-43993</v>
      </c>
      <c r="D397" s="3" t="str">
        <f>"43993"</f>
        <v>43993</v>
      </c>
      <c r="E397" s="3" t="str">
        <f>"ED16D048"</f>
        <v>ED16D048</v>
      </c>
    </row>
    <row r="398" spans="1:5" x14ac:dyDescent="0.25">
      <c r="A398" s="3" t="str">
        <f>"308039"</f>
        <v>308039</v>
      </c>
      <c r="B398" s="3" t="str">
        <f>"81983643057"</f>
        <v>81983643057</v>
      </c>
      <c r="C398" t="str">
        <f>"EVERYDAY COUNTER-FRIENDSHIP-72713"</f>
        <v>EVERYDAY COUNTER-FRIENDSHIP-72713</v>
      </c>
      <c r="D398" s="3" t="str">
        <f>"72713"</f>
        <v>72713</v>
      </c>
      <c r="E398" s="3" t="str">
        <f>"ED16D049"</f>
        <v>ED16D049</v>
      </c>
    </row>
    <row r="399" spans="1:5" x14ac:dyDescent="0.25">
      <c r="A399" s="3" t="str">
        <f>"345241"</f>
        <v>345241</v>
      </c>
      <c r="B399" s="3" t="str">
        <f>"81983793646"</f>
        <v>81983793646</v>
      </c>
      <c r="C399" t="str">
        <f>"EVERYDAY COUNTER-ENCOURAGEMENT PKG/6-U2580"</f>
        <v>EVERYDAY COUNTER-ENCOURAGEMENT PKG/6-U2580</v>
      </c>
      <c r="D399" s="3" t="str">
        <f>"U2580"</f>
        <v>U2580</v>
      </c>
      <c r="E399" s="3" t="str">
        <f>"ED16D050"</f>
        <v>ED16D050</v>
      </c>
    </row>
    <row r="400" spans="1:5" x14ac:dyDescent="0.25">
      <c r="A400" s="3" t="str">
        <f>"298750"</f>
        <v>298750</v>
      </c>
      <c r="B400" s="3" t="str">
        <f>"81983771897"</f>
        <v>81983771897</v>
      </c>
      <c r="C400" t="str">
        <f>"EVERYDAY COUNTER-ENC-FOR ANYONE-J9901"</f>
        <v>EVERYDAY COUNTER-ENC-FOR ANYONE-J9901</v>
      </c>
      <c r="D400" s="3" t="str">
        <f>"J9901"</f>
        <v>J9901</v>
      </c>
      <c r="E400" s="3" t="str">
        <f>"ED16D051"</f>
        <v>ED16D051</v>
      </c>
    </row>
    <row r="401" spans="1:5" x14ac:dyDescent="0.25">
      <c r="A401" s="3" t="str">
        <f>"308086"</f>
        <v>308086</v>
      </c>
      <c r="B401" s="3" t="str">
        <f>"81983589225"</f>
        <v>81983589225</v>
      </c>
      <c r="C401" t="str">
        <f>"EVERYDAY COUNTER-PFY - FOR ANYONE-75302"</f>
        <v>EVERYDAY COUNTER-PFY - FOR ANYONE-75302</v>
      </c>
      <c r="D401" s="3" t="str">
        <f>"75302"</f>
        <v>75302</v>
      </c>
      <c r="E401" s="3" t="str">
        <f>"ED16D052"</f>
        <v>ED16D052</v>
      </c>
    </row>
    <row r="402" spans="1:5" x14ac:dyDescent="0.25">
      <c r="A402" s="3" t="str">
        <f>"279595"</f>
        <v>279595</v>
      </c>
      <c r="B402" s="3" t="str">
        <f>"81983757464"</f>
        <v>81983757464</v>
      </c>
      <c r="C402" t="str">
        <f>"EVERYDAY COUNTER-GET WELL PKG/6-J8194"</f>
        <v>EVERYDAY COUNTER-GET WELL PKG/6-J8194</v>
      </c>
      <c r="D402" s="3" t="str">
        <f>"J8194"</f>
        <v>J8194</v>
      </c>
      <c r="E402" s="3" t="str">
        <f>"ED16D053"</f>
        <v>ED16D053</v>
      </c>
    </row>
    <row r="403" spans="1:5" x14ac:dyDescent="0.25">
      <c r="A403" s="3" t="str">
        <f>"308077"</f>
        <v>308077</v>
      </c>
      <c r="B403" s="3" t="str">
        <f>"81983643392"</f>
        <v>81983643392</v>
      </c>
      <c r="C403" t="str">
        <f>"EVERYDAY COUNTER-GET WELL-72901"</f>
        <v>EVERYDAY COUNTER-GET WELL-72901</v>
      </c>
      <c r="D403" s="3" t="str">
        <f>"72901"</f>
        <v>72901</v>
      </c>
      <c r="E403" s="3" t="str">
        <f>"ED16D054"</f>
        <v>ED16D054</v>
      </c>
    </row>
    <row r="404" spans="1:5" x14ac:dyDescent="0.25">
      <c r="A404" s="3" t="str">
        <f>"298805"</f>
        <v>298805</v>
      </c>
      <c r="B404" s="3" t="str">
        <f>"81983603495"</f>
        <v>81983603495</v>
      </c>
      <c r="C404" t="str">
        <f>"EVERYDAY COUNTER-SYMPATHY-43975"</f>
        <v>EVERYDAY COUNTER-SYMPATHY-43975</v>
      </c>
      <c r="D404" s="3" t="str">
        <f>"43975"</f>
        <v>43975</v>
      </c>
      <c r="E404" s="3" t="str">
        <f>"ED16D055"</f>
        <v>ED16D055</v>
      </c>
    </row>
    <row r="405" spans="1:5" x14ac:dyDescent="0.25">
      <c r="A405" s="3" t="str">
        <f>"345263"</f>
        <v>345263</v>
      </c>
      <c r="B405" s="3" t="str">
        <f>"81983793820"</f>
        <v>81983793820</v>
      </c>
      <c r="C405" t="str">
        <f>"EVERYDAY COUNTER-SYMPATHY/LOSS OF WIFE PKG/6"</f>
        <v>EVERYDAY COUNTER-SYMPATHY/LOSS OF WIFE PKG/6</v>
      </c>
      <c r="D405" s="3" t="str">
        <f>"U2598"</f>
        <v>U2598</v>
      </c>
      <c r="E405" s="3" t="str">
        <f>"ED16D056"</f>
        <v>ED16D056</v>
      </c>
    </row>
    <row r="406" spans="1:5" x14ac:dyDescent="0.25">
      <c r="A406" s="3" t="str">
        <f>"308214"</f>
        <v>308214</v>
      </c>
      <c r="B406" s="3" t="str">
        <f>"81983677366"</f>
        <v>81983677366</v>
      </c>
      <c r="C406" t="str">
        <f>"EVERYDAY COUNTER-FRIENDSHIP-MISS YOU PKG/6-91993"</f>
        <v>EVERYDAY COUNTER-FRIENDSHIP-MISS YOU PKG/6-91993</v>
      </c>
      <c r="D406" s="3" t="str">
        <f>"91993"</f>
        <v>91993</v>
      </c>
      <c r="E406" s="3" t="str">
        <f>"ED16D057"</f>
        <v>ED16D057</v>
      </c>
    </row>
    <row r="407" spans="1:5" x14ac:dyDescent="0.25">
      <c r="A407" s="3" t="str">
        <f>"307899"</f>
        <v>307899</v>
      </c>
      <c r="B407" s="3" t="str">
        <f>"81983612541"</f>
        <v>81983612541</v>
      </c>
      <c r="C407" t="str">
        <f>"EVERYDAY COUNTER-ENC-SMILE-44145"</f>
        <v>EVERYDAY COUNTER-ENC-SMILE-44145</v>
      </c>
      <c r="D407" s="3" t="str">
        <f>"44145"</f>
        <v>44145</v>
      </c>
      <c r="E407" s="3" t="str">
        <f>"ED16D058"</f>
        <v>ED16D058</v>
      </c>
    </row>
    <row r="408" spans="1:5" x14ac:dyDescent="0.25">
      <c r="A408" s="3" t="str">
        <f>"308016"</f>
        <v>308016</v>
      </c>
      <c r="B408" s="3" t="str">
        <f>"81983562914"</f>
        <v>81983562914</v>
      </c>
      <c r="C408" t="str">
        <f>"EVERYDAY COUNTER-BUSY MOM ENCOURAGEMENT-66647"</f>
        <v>EVERYDAY COUNTER-BUSY MOM ENCOURAGEMENT-66647</v>
      </c>
      <c r="D408" s="3" t="str">
        <f>"66647"</f>
        <v>66647</v>
      </c>
      <c r="E408" s="3" t="str">
        <f>"ED16D059"</f>
        <v>ED16D059</v>
      </c>
    </row>
    <row r="409" spans="1:5" x14ac:dyDescent="0.25">
      <c r="A409" s="3" t="str">
        <f>"345249"</f>
        <v>345249</v>
      </c>
      <c r="B409" s="3" t="str">
        <f>"81983793707"</f>
        <v>81983793707</v>
      </c>
      <c r="C409" t="str">
        <f>"EVERYDAY COUNTER-PRAYING FOR YOU PKG/6-U2586"</f>
        <v>EVERYDAY COUNTER-PRAYING FOR YOU PKG/6-U2586</v>
      </c>
      <c r="D409" s="3" t="str">
        <f>"U2586"</f>
        <v>U2586</v>
      </c>
      <c r="E409" s="3" t="str">
        <f>"ED16D060"</f>
        <v>ED16D060</v>
      </c>
    </row>
    <row r="410" spans="1:5" x14ac:dyDescent="0.25">
      <c r="A410" s="3" t="str">
        <f>"308258"</f>
        <v>308258</v>
      </c>
      <c r="B410" s="3" t="str">
        <f>"81983679063"</f>
        <v>81983679063</v>
      </c>
      <c r="C410" t="str">
        <f>"EVERYDAY COUNTER-GET WELL PKG/6-92200"</f>
        <v>EVERYDAY COUNTER-GET WELL PKG/6-92200</v>
      </c>
      <c r="D410" s="3" t="str">
        <f>"92200"</f>
        <v>92200</v>
      </c>
      <c r="E410" s="3" t="str">
        <f>"ED16D061"</f>
        <v>ED16D061</v>
      </c>
    </row>
    <row r="411" spans="1:5" x14ac:dyDescent="0.25">
      <c r="A411" s="3" t="str">
        <f>"308066"</f>
        <v>308066</v>
      </c>
      <c r="B411" s="3" t="str">
        <f>"81983773495"</f>
        <v>81983773495</v>
      </c>
      <c r="C411" t="str">
        <f>"EVERYDAY COUNTER-GET WELL-72816"</f>
        <v>EVERYDAY COUNTER-GET WELL-72816</v>
      </c>
      <c r="D411" s="3" t="str">
        <f>"72816"</f>
        <v>72816</v>
      </c>
      <c r="E411" s="3" t="str">
        <f>"ED16D062"</f>
        <v>ED16D062</v>
      </c>
    </row>
    <row r="412" spans="1:5" x14ac:dyDescent="0.25">
      <c r="A412" s="3" t="str">
        <f>"279618"</f>
        <v>279618</v>
      </c>
      <c r="B412" s="3" t="str">
        <f>"81983774539"</f>
        <v>81983774539</v>
      </c>
      <c r="C412" t="str">
        <f>"EVERYDAY COUNTER-SYMPATHY PKG/6-J8211"</f>
        <v>EVERYDAY COUNTER-SYMPATHY PKG/6-J8211</v>
      </c>
      <c r="D412" s="3" t="str">
        <f>"J8211"</f>
        <v>J8211</v>
      </c>
      <c r="E412" s="3" t="str">
        <f>"ED16D063"</f>
        <v>ED16D063</v>
      </c>
    </row>
    <row r="413" spans="1:5" x14ac:dyDescent="0.25">
      <c r="A413" s="3" t="str">
        <f>"307932"</f>
        <v>307932</v>
      </c>
      <c r="B413" s="3" t="str">
        <f>"81983772245"</f>
        <v>81983772245</v>
      </c>
      <c r="C413" t="str">
        <f>"EVERYDAY COUNTER-SYMPATHY - LOSS OF HUSBAND-J9936"</f>
        <v>EVERYDAY COUNTER-SYMPATHY - LOSS OF HUSBAND-J9936</v>
      </c>
      <c r="D413" s="3" t="str">
        <f>"J9936"</f>
        <v>J9936</v>
      </c>
      <c r="E413" s="3" t="str">
        <f>"ED16D064"</f>
        <v>ED16D064</v>
      </c>
    </row>
    <row r="414" spans="1:5" x14ac:dyDescent="0.25">
      <c r="A414" s="3" t="str">
        <f>"307996"</f>
        <v>307996</v>
      </c>
      <c r="B414" s="3" t="str">
        <f>"81983618956"</f>
        <v>81983618956</v>
      </c>
      <c r="C414" t="str">
        <f>"EVERYDAY COUNTER-ENC-I CAN RELATE-55900"</f>
        <v>EVERYDAY COUNTER-ENC-I CAN RELATE-55900</v>
      </c>
      <c r="D414" s="3" t="str">
        <f>"55900"</f>
        <v>55900</v>
      </c>
      <c r="E414" s="3" t="str">
        <f>"ED16D065"</f>
        <v>ED16D065</v>
      </c>
    </row>
    <row r="415" spans="1:5" x14ac:dyDescent="0.25">
      <c r="A415" s="3" t="str">
        <f>"279590"</f>
        <v>279590</v>
      </c>
      <c r="B415" s="3" t="str">
        <f>"81983757419"</f>
        <v>81983757419</v>
      </c>
      <c r="C415" t="str">
        <f>"EVERYDAY COUNTER-ENCOURAGEMENT - SMILE PKG/6-J8189"</f>
        <v>EVERYDAY COUNTER-ENCOURAGEMENT - SMILE PKG/6-J8189</v>
      </c>
      <c r="D415" s="3" t="str">
        <f>"J8189"</f>
        <v>J8189</v>
      </c>
      <c r="E415" s="3" t="str">
        <f>"ED16D066"</f>
        <v>ED16D066</v>
      </c>
    </row>
    <row r="416" spans="1:5" x14ac:dyDescent="0.25">
      <c r="A416" s="3" t="str">
        <f>"298747"</f>
        <v>298747</v>
      </c>
      <c r="B416" s="3" t="str">
        <f>"81983790676"</f>
        <v>81983790676</v>
      </c>
      <c r="C416" t="str">
        <f>"EVERYDAY COUNTER-ENC-JOB LOSS-11743"</f>
        <v>EVERYDAY COUNTER-ENC-JOB LOSS-11743</v>
      </c>
      <c r="D416" s="3" t="str">
        <f>"11743"</f>
        <v>11743</v>
      </c>
      <c r="E416" s="3" t="str">
        <f>"ED16D067"</f>
        <v>ED16D067</v>
      </c>
    </row>
    <row r="417" spans="1:5" x14ac:dyDescent="0.25">
      <c r="A417" s="3" t="str">
        <f>"279583"</f>
        <v>279583</v>
      </c>
      <c r="B417" s="3" t="str">
        <f>"81983757358"</f>
        <v>81983757358</v>
      </c>
      <c r="C417" t="str">
        <f>"EVERYDAY COUNTER-ENCOURAGEMENT - DIFFICULT TIME PKG/6-J8183"</f>
        <v>EVERYDAY COUNTER-ENCOURAGEMENT - DIFFICULT TIME PKG/6-J8183</v>
      </c>
      <c r="D417" s="3" t="str">
        <f>"J8183"</f>
        <v>J8183</v>
      </c>
      <c r="E417" s="3" t="str">
        <f>"ED16D068"</f>
        <v>ED16D068</v>
      </c>
    </row>
    <row r="418" spans="1:5" x14ac:dyDescent="0.25">
      <c r="A418" s="3" t="str">
        <f>"307993"</f>
        <v>307993</v>
      </c>
      <c r="B418" s="3" t="str">
        <f>"81983618918"</f>
        <v>81983618918</v>
      </c>
      <c r="C418" t="str">
        <f>"EVERYDAY COUNTER-PFY-FOR ANYONE-55608"</f>
        <v>EVERYDAY COUNTER-PFY-FOR ANYONE-55608</v>
      </c>
      <c r="D418" s="3" t="str">
        <f>"55608"</f>
        <v>55608</v>
      </c>
      <c r="E418" s="3" t="str">
        <f>"ED16D069"</f>
        <v>ED16D069</v>
      </c>
    </row>
    <row r="419" spans="1:5" x14ac:dyDescent="0.25">
      <c r="A419" s="3" t="str">
        <f>"279594"</f>
        <v>279594</v>
      </c>
      <c r="B419" s="3" t="str">
        <f>"81983757457"</f>
        <v>81983757457</v>
      </c>
      <c r="C419" t="str">
        <f>"EVERYDAY COUNTER-GET WELL PKG/6-J8193"</f>
        <v>EVERYDAY COUNTER-GET WELL PKG/6-J8193</v>
      </c>
      <c r="D419" s="3" t="str">
        <f>"J8193"</f>
        <v>J8193</v>
      </c>
      <c r="E419" s="3" t="str">
        <f>"ED16D070"</f>
        <v>ED16D070</v>
      </c>
    </row>
    <row r="420" spans="1:5" x14ac:dyDescent="0.25">
      <c r="A420" s="3" t="str">
        <f>"345262"</f>
        <v>345262</v>
      </c>
      <c r="B420" s="3" t="str">
        <f>"81983793813"</f>
        <v>81983793813</v>
      </c>
      <c r="C420" t="str">
        <f>"EVERYDAY COUNTER-SYMPATHY PKG/6-U2597"</f>
        <v>EVERYDAY COUNTER-SYMPATHY PKG/6-U2597</v>
      </c>
      <c r="D420" s="3" t="str">
        <f>"U2597"</f>
        <v>U2597</v>
      </c>
      <c r="E420" s="3" t="str">
        <f>"ED16D071"</f>
        <v>ED16D071</v>
      </c>
    </row>
    <row r="421" spans="1:5" x14ac:dyDescent="0.25">
      <c r="A421" s="3" t="str">
        <f>"345261"</f>
        <v>345261</v>
      </c>
      <c r="B421" s="3" t="str">
        <f>"81983793806"</f>
        <v>81983793806</v>
      </c>
      <c r="C421" t="str">
        <f>"EVERYDAY COUNTER-SYMPATHY PKG/6-U2596"</f>
        <v>EVERYDAY COUNTER-SYMPATHY PKG/6-U2596</v>
      </c>
      <c r="D421" s="3" t="str">
        <f>"U2596"</f>
        <v>U2596</v>
      </c>
      <c r="E421" s="3" t="str">
        <f>"ED16D072"</f>
        <v>ED16D072</v>
      </c>
    </row>
    <row r="422" spans="1:5" x14ac:dyDescent="0.25">
      <c r="A422" s="3" t="str">
        <f>"308225"</f>
        <v>308225</v>
      </c>
      <c r="B422" s="3" t="str">
        <f>"81983677458"</f>
        <v>81983677458</v>
      </c>
      <c r="C422" t="str">
        <f>"EVERYDAY COUNTER-SYM-LOSS OF HUSBAND PKG/6-92002"</f>
        <v>EVERYDAY COUNTER-SYM-LOSS OF HUSBAND PKG/6-92002</v>
      </c>
      <c r="D422" s="3" t="str">
        <f>"92002"</f>
        <v>92002</v>
      </c>
      <c r="E422" s="3" t="str">
        <f>"ED16D073"</f>
        <v>ED16D073</v>
      </c>
    </row>
    <row r="423" spans="1:5" x14ac:dyDescent="0.25">
      <c r="A423" s="3" t="str">
        <f>"308000"</f>
        <v>308000</v>
      </c>
      <c r="B423" s="3" t="str">
        <f>"81983618970"</f>
        <v>81983618970</v>
      </c>
      <c r="C423" t="str">
        <f>"EVERYDAY COUNTER-ENC-I CAN RELATE-55902"</f>
        <v>EVERYDAY COUNTER-ENC-I CAN RELATE-55902</v>
      </c>
      <c r="D423" s="3" t="str">
        <f>"55902"</f>
        <v>55902</v>
      </c>
      <c r="E423" s="3" t="str">
        <f>"ED16D074"</f>
        <v>ED16D074</v>
      </c>
    </row>
    <row r="424" spans="1:5" x14ac:dyDescent="0.25">
      <c r="A424" s="3" t="str">
        <f>"298782"</f>
        <v>298782</v>
      </c>
      <c r="B424" s="3" t="str">
        <f>"81983771927"</f>
        <v>81983771927</v>
      </c>
      <c r="C424" t="str">
        <f>"EVERYDAY COUNTER-IN THIS TOGETHER-J9904"</f>
        <v>EVERYDAY COUNTER-IN THIS TOGETHER-J9904</v>
      </c>
      <c r="D424" s="3" t="str">
        <f>"J9904"</f>
        <v>J9904</v>
      </c>
      <c r="E424" s="3" t="str">
        <f>"ED16D075"</f>
        <v>ED16D075</v>
      </c>
    </row>
    <row r="425" spans="1:5" x14ac:dyDescent="0.25">
      <c r="A425" s="3" t="str">
        <f>"308442"</f>
        <v>308442</v>
      </c>
      <c r="B425" s="3" t="str">
        <f>"81983721748"</f>
        <v>81983721748</v>
      </c>
      <c r="C425" t="str">
        <f>"EVERYDAY COUNTER-ENC- DIFFICULT RELATIONSHIP/COFFEE PKG/6-J3426"</f>
        <v>EVERYDAY COUNTER-ENC- DIFFICULT RELATIONSHIP/COFFEE PKG/6-J3426</v>
      </c>
      <c r="D425" s="3" t="str">
        <f>"J3426"</f>
        <v>J3426</v>
      </c>
      <c r="E425" s="3" t="str">
        <f>"ED16D076"</f>
        <v>ED16D076</v>
      </c>
    </row>
    <row r="426" spans="1:5" x14ac:dyDescent="0.25">
      <c r="A426" s="3" t="str">
        <f>"298684"</f>
        <v>298684</v>
      </c>
      <c r="B426" s="3" t="str">
        <f>"81983652066"</f>
        <v>81983652066</v>
      </c>
      <c r="C426" t="str">
        <f>"EVERYDAY COUNTER-ENC DIFFICULT TIME PKG/6-10255"</f>
        <v>EVERYDAY COUNTER-ENC DIFFICULT TIME PKG/6-10255</v>
      </c>
      <c r="D426" s="3" t="str">
        <f>"10255"</f>
        <v>10255</v>
      </c>
      <c r="E426" s="3" t="str">
        <f>"ED16D077"</f>
        <v>ED16D077</v>
      </c>
    </row>
    <row r="427" spans="1:5" x14ac:dyDescent="0.25">
      <c r="A427" s="3" t="str">
        <f>"307983"</f>
        <v>307983</v>
      </c>
      <c r="B427" s="3" t="str">
        <f>"81983618802"</f>
        <v>81983618802</v>
      </c>
      <c r="C427" t="str">
        <f>"EVERYDAY COUNTER-PFY-FOR ANYONE-55405"</f>
        <v>EVERYDAY COUNTER-PFY-FOR ANYONE-55405</v>
      </c>
      <c r="D427" s="3" t="str">
        <f>"55405"</f>
        <v>55405</v>
      </c>
      <c r="E427" s="3" t="str">
        <f>"ED16D078"</f>
        <v>ED16D078</v>
      </c>
    </row>
    <row r="428" spans="1:5" x14ac:dyDescent="0.25">
      <c r="A428" s="3" t="str">
        <f>"308456"</f>
        <v>308456</v>
      </c>
      <c r="B428" s="3" t="str">
        <f>"81983721892"</f>
        <v>81983721892</v>
      </c>
      <c r="C428" t="str">
        <f>"EVERYDAY COUNTER-GET WELL - RECOVERY/REST AND HEAL PKG/6-J3441"</f>
        <v>EVERYDAY COUNTER-GET WELL - RECOVERY/REST AND HEAL PKG/6-J3441</v>
      </c>
      <c r="D428" s="3" t="str">
        <f>"J3441"</f>
        <v>J3441</v>
      </c>
      <c r="E428" s="3" t="str">
        <f>"ED16D079"</f>
        <v>ED16D079</v>
      </c>
    </row>
    <row r="429" spans="1:5" x14ac:dyDescent="0.25">
      <c r="A429" s="3" t="str">
        <f>"345260"</f>
        <v>345260</v>
      </c>
      <c r="B429" s="3" t="str">
        <f>"81983793790"</f>
        <v>81983793790</v>
      </c>
      <c r="C429" t="str">
        <f>"EVERYDAY COUNTER-SYMPATHY PKG/6-U2595"</f>
        <v>EVERYDAY COUNTER-SYMPATHY PKG/6-U2595</v>
      </c>
      <c r="D429" s="3" t="str">
        <f>"U2595"</f>
        <v>U2595</v>
      </c>
      <c r="E429" s="3" t="str">
        <f>"ED16D080"</f>
        <v>ED16D080</v>
      </c>
    </row>
    <row r="430" spans="1:5" x14ac:dyDescent="0.25">
      <c r="A430" s="3" t="str">
        <f>"308080"</f>
        <v>308080</v>
      </c>
      <c r="B430" s="3" t="str">
        <f>"81983772153"</f>
        <v>81983772153</v>
      </c>
      <c r="C430" t="str">
        <f>"EVERYDAY COUNTER-SYMPATHY (PACK OF 6)-J9927"</f>
        <v>EVERYDAY COUNTER-SYMPATHY (PACK OF 6)-J9927</v>
      </c>
      <c r="D430" s="3" t="str">
        <f>"J9927"</f>
        <v>J9927</v>
      </c>
      <c r="E430" s="3" t="str">
        <f>"ED16D081"</f>
        <v>ED16D081</v>
      </c>
    </row>
    <row r="431" spans="1:5" x14ac:dyDescent="0.25">
      <c r="A431" s="3" t="str">
        <f>"298730"</f>
        <v>298730</v>
      </c>
      <c r="B431" s="3" t="str">
        <f>"81983774607"</f>
        <v>81983774607</v>
      </c>
      <c r="C431" t="str">
        <f>"EVERYDAY COUNTER-SYM-LOSS OF DAUGHTER-11528"</f>
        <v>EVERYDAY COUNTER-SYM-LOSS OF DAUGHTER-11528</v>
      </c>
      <c r="D431" s="3" t="str">
        <f>"11528"</f>
        <v>11528</v>
      </c>
      <c r="E431" s="3" t="str">
        <f>"ED16D082"</f>
        <v>ED16D082</v>
      </c>
    </row>
    <row r="432" spans="1:5" x14ac:dyDescent="0.25">
      <c r="A432" s="3" t="str">
        <f>"307906"</f>
        <v>307906</v>
      </c>
      <c r="B432" s="3" t="str">
        <f>"81983612619"</f>
        <v>81983612619</v>
      </c>
      <c r="C432" t="str">
        <f>"EVERYDAY COUNTER-ENC-I CAN RELATE-44153"</f>
        <v>EVERYDAY COUNTER-ENC-I CAN RELATE-44153</v>
      </c>
      <c r="D432" s="3" t="str">
        <f>"44153"</f>
        <v>44153</v>
      </c>
      <c r="E432" s="3" t="str">
        <f>"ED16D083"</f>
        <v>ED16D083</v>
      </c>
    </row>
    <row r="433" spans="1:5" x14ac:dyDescent="0.25">
      <c r="A433" s="3" t="str">
        <f>"307984"</f>
        <v>307984</v>
      </c>
      <c r="B433" s="3" t="str">
        <f>"81983618826"</f>
        <v>81983618826</v>
      </c>
      <c r="C433" t="str">
        <f>"EVERYDAY COUNTER-ENC-IN THIS TOGETHER-55525"</f>
        <v>EVERYDAY COUNTER-ENC-IN THIS TOGETHER-55525</v>
      </c>
      <c r="D433" s="3" t="str">
        <f>"55525"</f>
        <v>55525</v>
      </c>
      <c r="E433" s="3" t="str">
        <f>"ED16D084"</f>
        <v>ED16D084</v>
      </c>
    </row>
    <row r="434" spans="1:5" x14ac:dyDescent="0.25">
      <c r="A434" s="3" t="str">
        <f>"308020"</f>
        <v>308020</v>
      </c>
      <c r="B434" s="3" t="str">
        <f>"81983562952"</f>
        <v>81983562952</v>
      </c>
      <c r="C434" t="str">
        <f>"EVERYDAY COUNTER-DIFFICULT RELATIONSHIP-66651"</f>
        <v>EVERYDAY COUNTER-DIFFICULT RELATIONSHIP-66651</v>
      </c>
      <c r="D434" s="3" t="str">
        <f>"66651"</f>
        <v>66651</v>
      </c>
      <c r="E434" s="3" t="str">
        <f>"ED16D085"</f>
        <v>ED16D085</v>
      </c>
    </row>
    <row r="435" spans="1:5" x14ac:dyDescent="0.25">
      <c r="A435" s="3" t="str">
        <f>"308443"</f>
        <v>308443</v>
      </c>
      <c r="B435" s="3" t="str">
        <f>"81983721755"</f>
        <v>81983721755</v>
      </c>
      <c r="C435" t="str">
        <f>"EVERYDAY COUNTER-DIFFICULT TIME/NOTHING ABOUT WHAT YOU'RE GOING THROUGH PKG/6-J3427"</f>
        <v>EVERYDAY COUNTER-DIFFICULT TIME/NOTHING ABOUT WHAT YOU'RE GOING THROUGH PKG/6-J3427</v>
      </c>
      <c r="D435" s="3" t="str">
        <f>"J3427"</f>
        <v>J3427</v>
      </c>
      <c r="E435" s="3" t="str">
        <f>"ED16D086"</f>
        <v>ED16D086</v>
      </c>
    </row>
    <row r="436" spans="1:5" x14ac:dyDescent="0.25">
      <c r="A436" s="3" t="str">
        <f>"401613"</f>
        <v>401613</v>
      </c>
      <c r="B436" s="3" t="str">
        <f>"81983772047"</f>
        <v>81983772047</v>
      </c>
      <c r="C436" t="str">
        <f>"EVERYDAY COUNTER-PRAYING FOR YOU-J9916"</f>
        <v>EVERYDAY COUNTER-PRAYING FOR YOU-J9916</v>
      </c>
      <c r="D436" s="3" t="str">
        <f>"J9916"</f>
        <v>J9916</v>
      </c>
      <c r="E436" s="3" t="str">
        <f>"ED16D087"</f>
        <v>ED16D087</v>
      </c>
    </row>
    <row r="437" spans="1:5" x14ac:dyDescent="0.25">
      <c r="A437" s="3" t="str">
        <f>"308457"</f>
        <v>308457</v>
      </c>
      <c r="B437" s="3" t="str">
        <f>"81983721908"</f>
        <v>81983721908</v>
      </c>
      <c r="C437" t="str">
        <f>"EVERYDAY COUNTER-THINKING OF YOU/ORANGE FLOWERS PKG/6-J3442"</f>
        <v>EVERYDAY COUNTER-THINKING OF YOU/ORANGE FLOWERS PKG/6-J3442</v>
      </c>
      <c r="D437" s="3" t="str">
        <f>"J3442"</f>
        <v>J3442</v>
      </c>
      <c r="E437" s="3" t="str">
        <f>"ED16D088"</f>
        <v>ED16D088</v>
      </c>
    </row>
    <row r="438" spans="1:5" x14ac:dyDescent="0.25">
      <c r="A438" s="3" t="str">
        <f>"279627"</f>
        <v>279627</v>
      </c>
      <c r="B438" s="3" t="str">
        <f>"81983757709"</f>
        <v>81983757709</v>
      </c>
      <c r="C438" t="str">
        <f>"EVERYDAY COUNTER-SYMPATHY PKG/6-J8218"</f>
        <v>EVERYDAY COUNTER-SYMPATHY PKG/6-J8218</v>
      </c>
      <c r="D438" s="3" t="str">
        <f>"J8218"</f>
        <v>J8218</v>
      </c>
      <c r="E438" s="3" t="str">
        <f>"ED16D089"</f>
        <v>ED16D089</v>
      </c>
    </row>
    <row r="439" spans="1:5" x14ac:dyDescent="0.25">
      <c r="A439" s="3" t="str">
        <f>"298810"</f>
        <v>298810</v>
      </c>
      <c r="B439" s="3" t="str">
        <f>"81983678424"</f>
        <v>81983678424</v>
      </c>
      <c r="C439" t="str">
        <f>"EVERYDAY COUNTER-SYMPATHY-43984"</f>
        <v>EVERYDAY COUNTER-SYMPATHY-43984</v>
      </c>
      <c r="D439" s="3" t="str">
        <f>"43984"</f>
        <v>43984</v>
      </c>
      <c r="E439" s="3" t="str">
        <f>"ED16D090"</f>
        <v>ED16D090</v>
      </c>
    </row>
    <row r="440" spans="1:5" x14ac:dyDescent="0.25">
      <c r="A440" s="3" t="str">
        <f>"308226"</f>
        <v>308226</v>
      </c>
      <c r="B440" s="3" t="str">
        <f>"81983677465"</f>
        <v>81983677465</v>
      </c>
      <c r="C440" t="str">
        <f>"EVERYDAY COUNTER-SYM-LOSS OF SON PKG/6-92003"</f>
        <v>EVERYDAY COUNTER-SYM-LOSS OF SON PKG/6-92003</v>
      </c>
      <c r="D440" s="3" t="str">
        <f>"92003"</f>
        <v>92003</v>
      </c>
      <c r="E440" s="3" t="str">
        <f>"ED16D091"</f>
        <v>ED16D091</v>
      </c>
    </row>
    <row r="441" spans="1:5" x14ac:dyDescent="0.25">
      <c r="A441" s="3" t="str">
        <f>"307997"</f>
        <v>307997</v>
      </c>
      <c r="B441" s="3" t="str">
        <f>"81983771903"</f>
        <v>81983771903</v>
      </c>
      <c r="C441" t="str">
        <f>"EVERYDAY COUNTER-ENC-HOPE (Pk/6)-J9902"</f>
        <v>EVERYDAY COUNTER-ENC-HOPE (Pk/6)-J9902</v>
      </c>
      <c r="D441" s="3" t="str">
        <f>"J9902"</f>
        <v>J9902</v>
      </c>
      <c r="E441" s="3" t="str">
        <f>"ED16D092"</f>
        <v>ED16D092</v>
      </c>
    </row>
    <row r="442" spans="1:5" x14ac:dyDescent="0.25">
      <c r="A442" s="3" t="str">
        <f>"308268"</f>
        <v>308268</v>
      </c>
      <c r="B442" s="3" t="str">
        <f>"81983612787"</f>
        <v>81983612787</v>
      </c>
      <c r="C442" t="str">
        <f>"EVERYDAY COUNTER-ENC-MAKE A DIFFERENCE-44423"</f>
        <v>EVERYDAY COUNTER-ENC-MAKE A DIFFERENCE-44423</v>
      </c>
      <c r="D442" s="3" t="str">
        <f>"44423"</f>
        <v>44423</v>
      </c>
      <c r="E442" s="3" t="str">
        <f>"ED16D093"</f>
        <v>ED16D093</v>
      </c>
    </row>
    <row r="443" spans="1:5" x14ac:dyDescent="0.25">
      <c r="A443" s="3" t="str">
        <f>"307907"</f>
        <v>307907</v>
      </c>
      <c r="B443" s="3" t="str">
        <f>"81983612626"</f>
        <v>81983612626</v>
      </c>
      <c r="C443" t="str">
        <f>"EVERYDAY COUNTER-ENCOURAGEMENT - DIFFICULT RELATION SHIP-44163"</f>
        <v>EVERYDAY COUNTER-ENCOURAGEMENT - DIFFICULT RELATION SHIP-44163</v>
      </c>
      <c r="D443" s="3" t="str">
        <f>"44163"</f>
        <v>44163</v>
      </c>
      <c r="E443" s="3" t="str">
        <f>"ED16D094"</f>
        <v>ED16D094</v>
      </c>
    </row>
    <row r="444" spans="1:5" x14ac:dyDescent="0.25">
      <c r="A444" s="3" t="str">
        <f>"279584"</f>
        <v>279584</v>
      </c>
      <c r="B444" s="3" t="str">
        <f>"81983757365"</f>
        <v>81983757365</v>
      </c>
      <c r="C444" t="str">
        <f>"EVERYDAY COUNTER-ENCOURAGEMENT - DIVORCE PKG/6-J8184"</f>
        <v>EVERYDAY COUNTER-ENCOURAGEMENT - DIVORCE PKG/6-J8184</v>
      </c>
      <c r="D444" s="3" t="str">
        <f>"J8184"</f>
        <v>J8184</v>
      </c>
      <c r="E444" s="3" t="str">
        <f>"ED16D095"</f>
        <v>ED16D095</v>
      </c>
    </row>
    <row r="445" spans="1:5" x14ac:dyDescent="0.25">
      <c r="A445" s="3" t="str">
        <f>"308218"</f>
        <v>308218</v>
      </c>
      <c r="B445" s="3" t="str">
        <f>"81983677403"</f>
        <v>81983677403</v>
      </c>
      <c r="C445" t="str">
        <f>"EVERYDAY COUNTER-PRAYING FOR YOU PKG/6-91997"</f>
        <v>EVERYDAY COUNTER-PRAYING FOR YOU PKG/6-91997</v>
      </c>
      <c r="D445" s="3" t="str">
        <f>"91997"</f>
        <v>91997</v>
      </c>
      <c r="E445" s="3" t="str">
        <f>"ED16D096"</f>
        <v>ED16D096</v>
      </c>
    </row>
    <row r="446" spans="1:5" x14ac:dyDescent="0.25">
      <c r="A446" s="3" t="str">
        <f>"345252"</f>
        <v>345252</v>
      </c>
      <c r="B446" s="3" t="str">
        <f>"81983793738"</f>
        <v>81983793738</v>
      </c>
      <c r="C446" t="str">
        <f>"EVERYDAY COUNTER-PRAYING FOR YOU/MILITARY PKG/6"</f>
        <v>EVERYDAY COUNTER-PRAYING FOR YOU/MILITARY PKG/6</v>
      </c>
      <c r="D446" s="3" t="str">
        <f>"U2589"</f>
        <v>U2589</v>
      </c>
      <c r="E446" s="3" t="str">
        <f>"ED16D097"</f>
        <v>ED16D097</v>
      </c>
    </row>
    <row r="447" spans="1:5" x14ac:dyDescent="0.25">
      <c r="A447" s="3" t="str">
        <f>"279621"</f>
        <v>279621</v>
      </c>
      <c r="B447" s="3" t="str">
        <f>"81983757655"</f>
        <v>81983757655</v>
      </c>
      <c r="C447" t="str">
        <f>"EVERYDAY COUNTER-SYMPATHY PKG/6-J8213"</f>
        <v>EVERYDAY COUNTER-SYMPATHY PKG/6-J8213</v>
      </c>
      <c r="D447" s="3" t="str">
        <f>"J8213"</f>
        <v>J8213</v>
      </c>
      <c r="E447" s="3" t="str">
        <f>"ED16D098"</f>
        <v>ED16D098</v>
      </c>
    </row>
    <row r="448" spans="1:5" x14ac:dyDescent="0.25">
      <c r="A448" s="3" t="str">
        <f>"308011"</f>
        <v>308011</v>
      </c>
      <c r="B448" s="3" t="str">
        <f>"81983678592"</f>
        <v>81983678592</v>
      </c>
      <c r="C448" t="str">
        <f>"EVERYDAY COUNTER-SYMPATHY ANYONE-60335"</f>
        <v>EVERYDAY COUNTER-SYMPATHY ANYONE-60335</v>
      </c>
      <c r="D448" s="3" t="str">
        <f>"60335"</f>
        <v>60335</v>
      </c>
      <c r="E448" s="3" t="str">
        <f>"ED16D099"</f>
        <v>ED16D099</v>
      </c>
    </row>
    <row r="449" spans="1:5" x14ac:dyDescent="0.25">
      <c r="A449" s="3" t="str">
        <f>"308078"</f>
        <v>308078</v>
      </c>
      <c r="B449" s="3" t="str">
        <f>"81983643439"</f>
        <v>81983643439</v>
      </c>
      <c r="C449" t="str">
        <f>"EVERYDAY COUNTER-SYMPATHY LOSS OF BABY-72902"</f>
        <v>EVERYDAY COUNTER-SYMPATHY LOSS OF BABY-72902</v>
      </c>
      <c r="D449" s="3" t="str">
        <f>"72902"</f>
        <v>72902</v>
      </c>
      <c r="E449" s="3" t="str">
        <f>"ED16D100"</f>
        <v>ED16D100</v>
      </c>
    </row>
    <row r="450" spans="1:5" x14ac:dyDescent="0.25">
      <c r="A450" s="3" t="str">
        <f>"307975"</f>
        <v>307975</v>
      </c>
      <c r="B450" s="3" t="str">
        <f>"81983771910"</f>
        <v>81983771910</v>
      </c>
      <c r="C450" t="str">
        <f>"EVERYDAY COUNTER-ENC-HOPE-J9903"</f>
        <v>EVERYDAY COUNTER-ENC-HOPE-J9903</v>
      </c>
      <c r="D450" s="3" t="str">
        <f>"J9903"</f>
        <v>J9903</v>
      </c>
      <c r="E450" s="3" t="str">
        <f>"ED16D101"</f>
        <v>ED16D101</v>
      </c>
    </row>
    <row r="451" spans="1:5" x14ac:dyDescent="0.25">
      <c r="A451" s="3" t="str">
        <f>"307986"</f>
        <v>307986</v>
      </c>
      <c r="B451" s="3" t="str">
        <f>"81983771934"</f>
        <v>81983771934</v>
      </c>
      <c r="C451" t="str">
        <f>"EVERYDAY COUNTER-ENC-YOU MAKE A DIFFERENCE-J9905"</f>
        <v>EVERYDAY COUNTER-ENC-YOU MAKE A DIFFERENCE-J9905</v>
      </c>
      <c r="D451" s="3" t="str">
        <f>"J9905"</f>
        <v>J9905</v>
      </c>
      <c r="E451" s="3" t="str">
        <f>"ED16D102"</f>
        <v>ED16D102</v>
      </c>
    </row>
    <row r="452" spans="1:5" x14ac:dyDescent="0.25">
      <c r="A452" s="3" t="str">
        <f>"308019"</f>
        <v>308019</v>
      </c>
      <c r="B452" s="3" t="str">
        <f>"81983771859"</f>
        <v>81983771859</v>
      </c>
      <c r="C452" t="str">
        <f>"EVERYDAY COUNTER-DEPRESSION ENCOURAGEMENT-J9897"</f>
        <v>EVERYDAY COUNTER-DEPRESSION ENCOURAGEMENT-J9897</v>
      </c>
      <c r="D452" s="3" t="str">
        <f>"J9897"</f>
        <v>J9897</v>
      </c>
      <c r="E452" s="3" t="str">
        <f>"ED16D103"</f>
        <v>ED16D103</v>
      </c>
    </row>
    <row r="453" spans="1:5" x14ac:dyDescent="0.25">
      <c r="A453" s="3" t="str">
        <f>"345240"</f>
        <v>345240</v>
      </c>
      <c r="B453" s="3" t="str">
        <f>"81983793639"</f>
        <v>81983793639</v>
      </c>
      <c r="C453" t="str">
        <f>"EVERYDAY COUNTER-ENCOURAGEMENT CANCER PKG/6"</f>
        <v>EVERYDAY COUNTER-ENCOURAGEMENT CANCER PKG/6</v>
      </c>
      <c r="D453" s="3" t="str">
        <f>"U2579"</f>
        <v>U2579</v>
      </c>
      <c r="E453" s="3" t="str">
        <f>"ED16D104"</f>
        <v>ED16D104</v>
      </c>
    </row>
    <row r="454" spans="1:5" x14ac:dyDescent="0.25">
      <c r="A454" s="3" t="str">
        <f>"308267"</f>
        <v>308267</v>
      </c>
      <c r="B454" s="3" t="str">
        <f>"81983612589"</f>
        <v>81983612589</v>
      </c>
      <c r="C454" t="str">
        <f>"EVERYDAY COUNTER-ENC-SERIOUS ILLNESS-44149"</f>
        <v>EVERYDAY COUNTER-ENC-SERIOUS ILLNESS-44149</v>
      </c>
      <c r="D454" s="3" t="str">
        <f>"44149"</f>
        <v>44149</v>
      </c>
      <c r="E454" s="3" t="str">
        <f>"ED16D105"</f>
        <v>ED16D105</v>
      </c>
    </row>
    <row r="455" spans="1:5" x14ac:dyDescent="0.25">
      <c r="A455" s="3" t="str">
        <f>"279581"</f>
        <v>279581</v>
      </c>
      <c r="B455" s="3" t="str">
        <f>"81983773372"</f>
        <v>81983773372</v>
      </c>
      <c r="C455" t="str">
        <f>"EVERYDAY COUNTER-ENCOURAGEMENT - CAREGIVER PKG/6-J8181"</f>
        <v>EVERYDAY COUNTER-ENCOURAGEMENT - CAREGIVER PKG/6-J8181</v>
      </c>
      <c r="D455" s="3" t="str">
        <f>"J8181"</f>
        <v>J8181</v>
      </c>
      <c r="E455" s="3" t="str">
        <f>"ED16D106"</f>
        <v>ED16D106</v>
      </c>
    </row>
    <row r="456" spans="1:5" x14ac:dyDescent="0.25">
      <c r="A456" s="3" t="str">
        <f>"298806"</f>
        <v>298806</v>
      </c>
      <c r="B456" s="3" t="str">
        <f>"81983678417"</f>
        <v>81983678417</v>
      </c>
      <c r="C456" t="str">
        <f>"EVERYDAY COUNTER-SYMPATHY-43976"</f>
        <v>EVERYDAY COUNTER-SYMPATHY-43976</v>
      </c>
      <c r="D456" s="3" t="str">
        <f>"43976"</f>
        <v>43976</v>
      </c>
      <c r="E456" s="3" t="str">
        <f>"ED16D107"</f>
        <v>ED16D107</v>
      </c>
    </row>
    <row r="457" spans="1:5" x14ac:dyDescent="0.25">
      <c r="A457" s="3" t="str">
        <f>"308271"</f>
        <v>308271</v>
      </c>
      <c r="B457" s="3" t="str">
        <f>"81983774393"</f>
        <v>81983774393</v>
      </c>
      <c r="C457" t="str">
        <f>"EVERYDAY COUNTER-SYMPATHY-72952"</f>
        <v>EVERYDAY COUNTER-SYMPATHY-72952</v>
      </c>
      <c r="D457" s="3" t="str">
        <f>"72952"</f>
        <v>72952</v>
      </c>
      <c r="E457" s="3" t="str">
        <f>"ED16D108"</f>
        <v>ED16D108</v>
      </c>
    </row>
    <row r="458" spans="1:5" x14ac:dyDescent="0.25">
      <c r="A458" s="3" t="str">
        <f>"308222"</f>
        <v>308222</v>
      </c>
      <c r="B458" s="3" t="str">
        <f>"81983774348"</f>
        <v>81983774348</v>
      </c>
      <c r="C458" t="str">
        <f>"EVERYDAY COUNTER-SYM-ANN OF DEATH PKG/6-92000"</f>
        <v>EVERYDAY COUNTER-SYM-ANN OF DEATH PKG/6-92000</v>
      </c>
      <c r="D458" s="3" t="str">
        <f>"92000"</f>
        <v>92000</v>
      </c>
      <c r="E458" s="3" t="str">
        <f>"ED16D109"</f>
        <v>ED16D109</v>
      </c>
    </row>
    <row r="459" spans="1:5" x14ac:dyDescent="0.25">
      <c r="A459" s="3" t="str">
        <f>"307902"</f>
        <v>307902</v>
      </c>
      <c r="B459" s="3" t="str">
        <f>"81983771941"</f>
        <v>81983771941</v>
      </c>
      <c r="C459" t="str">
        <f>"EVERYDAY COUNTER-ENC-MAKE A DIFF-J9906"</f>
        <v>EVERYDAY COUNTER-ENC-MAKE A DIFF-J9906</v>
      </c>
      <c r="D459" s="3" t="str">
        <f>"J9906"</f>
        <v>J9906</v>
      </c>
      <c r="E459" s="3" t="str">
        <f>"ED16D110"</f>
        <v>ED16D110</v>
      </c>
    </row>
    <row r="460" spans="1:5" x14ac:dyDescent="0.25">
      <c r="A460" s="3" t="str">
        <f>"307980"</f>
        <v>307980</v>
      </c>
      <c r="B460" s="3" t="str">
        <f>"81983618789"</f>
        <v>81983618789</v>
      </c>
      <c r="C460" t="str">
        <f>"EVERYDAY COUNTER-ENC-YOU MAKE A DIFFERENCE-55403"</f>
        <v>EVERYDAY COUNTER-ENC-YOU MAKE A DIFFERENCE-55403</v>
      </c>
      <c r="D460" s="3" t="str">
        <f>"55403"</f>
        <v>55403</v>
      </c>
      <c r="E460" s="3" t="str">
        <f>"ED16D111"</f>
        <v>ED16D111</v>
      </c>
    </row>
    <row r="461" spans="1:5" x14ac:dyDescent="0.25">
      <c r="A461" s="3" t="str">
        <f>"279582"</f>
        <v>279582</v>
      </c>
      <c r="B461" s="3" t="str">
        <f>"81983757341"</f>
        <v>81983757341</v>
      </c>
      <c r="C461" t="str">
        <f>"EVERYDAY COUNTER-ENCOURAGEMENT - DEPRESSION PKG/6-J8182"</f>
        <v>EVERYDAY COUNTER-ENCOURAGEMENT - DEPRESSION PKG/6-J8182</v>
      </c>
      <c r="D461" s="3" t="str">
        <f>"J8182"</f>
        <v>J8182</v>
      </c>
      <c r="E461" s="3" t="str">
        <f>"ED16D112"</f>
        <v>ED16D112</v>
      </c>
    </row>
    <row r="462" spans="1:5" x14ac:dyDescent="0.25">
      <c r="A462" s="3" t="str">
        <f>"308441"</f>
        <v>308441</v>
      </c>
      <c r="B462" s="3" t="str">
        <f>"81983721731"</f>
        <v>81983721731</v>
      </c>
      <c r="C462" t="str">
        <f>"EVERYDAY COUNTER-ENC- COPING WITH CANCER/GOD KNOWS PKG/6-J3425"</f>
        <v>EVERYDAY COUNTER-ENC- COPING WITH CANCER/GOD KNOWS PKG/6-J3425</v>
      </c>
      <c r="D462" s="3" t="str">
        <f>"J3425"</f>
        <v>J3425</v>
      </c>
      <c r="E462" s="3" t="str">
        <f>"ED16D113"</f>
        <v>ED16D113</v>
      </c>
    </row>
    <row r="463" spans="1:5" x14ac:dyDescent="0.25">
      <c r="A463" s="3" t="str">
        <f>"279589"</f>
        <v>279589</v>
      </c>
      <c r="B463" s="3" t="str">
        <f>"81983757402"</f>
        <v>81983757402</v>
      </c>
      <c r="C463" t="str">
        <f>"EVERYDAY COUNTER-ENCOURAGEMENT - SERIOUS ILLNES PKG/6-J8188"</f>
        <v>EVERYDAY COUNTER-ENCOURAGEMENT - SERIOUS ILLNES PKG/6-J8188</v>
      </c>
      <c r="D463" s="3" t="str">
        <f>"J8188"</f>
        <v>J8188</v>
      </c>
      <c r="E463" s="3" t="str">
        <f>"ED16D114"</f>
        <v>ED16D114</v>
      </c>
    </row>
    <row r="464" spans="1:5" x14ac:dyDescent="0.25">
      <c r="A464" s="3" t="str">
        <f>"279616"</f>
        <v>279616</v>
      </c>
      <c r="B464" s="3" t="str">
        <f>"81983774522"</f>
        <v>81983774522</v>
      </c>
      <c r="C464" t="str">
        <f>"EVERYDAY COUNTER-SYMPATHY PKG/6-J8209"</f>
        <v>EVERYDAY COUNTER-SYMPATHY PKG/6-J8209</v>
      </c>
      <c r="D464" s="3" t="str">
        <f>"J8209"</f>
        <v>J8209</v>
      </c>
      <c r="E464" s="3" t="str">
        <f>"ED16D115"</f>
        <v>ED16D115</v>
      </c>
    </row>
    <row r="465" spans="1:5" x14ac:dyDescent="0.25">
      <c r="A465" s="3" t="str">
        <f>"279550"</f>
        <v>279550</v>
      </c>
      <c r="B465" s="3" t="str">
        <f>"81983749186"</f>
        <v>81983749186</v>
      </c>
      <c r="C465" t="str">
        <f>"EVERYDAY COUNTER-SYMPATHY PKG/6-J6746"</f>
        <v>EVERYDAY COUNTER-SYMPATHY PKG/6-J6746</v>
      </c>
      <c r="D465" s="3" t="str">
        <f>"J6746"</f>
        <v>J6746</v>
      </c>
      <c r="E465" s="3" t="str">
        <f>"ED16D116"</f>
        <v>ED16D116</v>
      </c>
    </row>
    <row r="466" spans="1:5" x14ac:dyDescent="0.25">
      <c r="A466" s="3" t="str">
        <f>"298807"</f>
        <v>298807</v>
      </c>
      <c r="B466" s="3" t="str">
        <f>"81983603679"</f>
        <v>81983603679</v>
      </c>
      <c r="C466" t="str">
        <f>"EVERYDAY COUNTER-SYMPATHY-43980"</f>
        <v>EVERYDAY COUNTER-SYMPATHY-43980</v>
      </c>
      <c r="D466" s="3" t="str">
        <f>"43980"</f>
        <v>43980</v>
      </c>
      <c r="E466" s="3" t="str">
        <f>"ED16D117"</f>
        <v>ED16D117</v>
      </c>
    </row>
    <row r="467" spans="1:5" x14ac:dyDescent="0.25">
      <c r="A467" s="3" t="str">
        <f>"308250"</f>
        <v>308250</v>
      </c>
      <c r="B467" s="3" t="str">
        <f>"81983774386"</f>
        <v>81983774386</v>
      </c>
      <c r="C467" t="str">
        <f>"EVERYDAY COUNTER-SYMPATHY PKG/6-92192"</f>
        <v>EVERYDAY COUNTER-SYMPATHY PKG/6-92192</v>
      </c>
      <c r="D467" s="3" t="str">
        <f>"92192"</f>
        <v>92192</v>
      </c>
      <c r="E467" s="3" t="str">
        <f>"ED16D118"</f>
        <v>ED16D118</v>
      </c>
    </row>
    <row r="468" spans="1:5" x14ac:dyDescent="0.25">
      <c r="A468" s="3" t="str">
        <f>"349544"</f>
        <v>349544</v>
      </c>
      <c r="B468" s="3" t="str">
        <f>"81983778377"</f>
        <v>81983778377</v>
      </c>
      <c r="C468" t="str">
        <f>"EVERYDAY COUNTER-BIRTHDAY FOR HER PKG/2"</f>
        <v>EVERYDAY COUNTER-BIRTHDAY FOR HER PKG/2</v>
      </c>
      <c r="D468" s="3" t="s">
        <v>33</v>
      </c>
      <c r="E468" s="3" t="str">
        <f>"ED16HA01"</f>
        <v>ED16HA01</v>
      </c>
    </row>
    <row r="469" spans="1:5" x14ac:dyDescent="0.25">
      <c r="A469" s="3" t="str">
        <f>"349546"</f>
        <v>349546</v>
      </c>
      <c r="B469" s="3" t="str">
        <f>"81983778384"</f>
        <v>81983778384</v>
      </c>
      <c r="C469" t="str">
        <f>"EVERYDAY COUNTER-BIRTHDAY FOR HER PKG/2-U0469"</f>
        <v>EVERYDAY COUNTER-BIRTHDAY FOR HER PKG/2-U0469</v>
      </c>
      <c r="D469" s="3" t="s">
        <v>34</v>
      </c>
      <c r="E469" s="3" t="str">
        <f>"ED16HA02"</f>
        <v>ED16HA02</v>
      </c>
    </row>
    <row r="470" spans="1:5" x14ac:dyDescent="0.25">
      <c r="A470" s="3" t="str">
        <f>"349529"</f>
        <v>349529</v>
      </c>
      <c r="B470" s="3" t="str">
        <f>"81983778476"</f>
        <v>81983778476</v>
      </c>
      <c r="C470" t="str">
        <f>"EVERYDAY COUNTER-BIRTHDAY PKG/6-U0478"</f>
        <v>EVERYDAY COUNTER-BIRTHDAY PKG/6-U0478</v>
      </c>
      <c r="D470" s="3" t="s">
        <v>35</v>
      </c>
      <c r="E470" s="3" t="str">
        <f>"ED16HA03"</f>
        <v>ED16HA03</v>
      </c>
    </row>
    <row r="471" spans="1:5" x14ac:dyDescent="0.25">
      <c r="A471" s="3" t="str">
        <f>"349530"</f>
        <v>349530</v>
      </c>
      <c r="B471" s="3" t="str">
        <f>"81983778483"</f>
        <v>81983778483</v>
      </c>
      <c r="C471" t="str">
        <f>"EVERYDAY COUNTER-BIRTHDAY PKG/6-U0479"</f>
        <v>EVERYDAY COUNTER-BIRTHDAY PKG/6-U0479</v>
      </c>
      <c r="D471" s="3" t="s">
        <v>36</v>
      </c>
      <c r="E471" s="3" t="str">
        <f>"ED16HA04"</f>
        <v>ED16HA04</v>
      </c>
    </row>
    <row r="472" spans="1:5" x14ac:dyDescent="0.25">
      <c r="A472" s="3" t="str">
        <f>"349531"</f>
        <v>349531</v>
      </c>
      <c r="B472" s="3" t="str">
        <f>"81983778490"</f>
        <v>81983778490</v>
      </c>
      <c r="C472" t="str">
        <f>"EVERYDAY COUNTER-BIRTHDAY PKG/6-U0480"</f>
        <v>EVERYDAY COUNTER-BIRTHDAY PKG/6-U0480</v>
      </c>
      <c r="D472" s="3" t="s">
        <v>37</v>
      </c>
      <c r="E472" s="3" t="str">
        <f>"ED16HA05"</f>
        <v>ED16HA05</v>
      </c>
    </row>
    <row r="473" spans="1:5" x14ac:dyDescent="0.25">
      <c r="A473" s="3" t="str">
        <f>"349532"</f>
        <v>349532</v>
      </c>
      <c r="B473" s="3" t="str">
        <f>"81983778506"</f>
        <v>81983778506</v>
      </c>
      <c r="C473" t="str">
        <f>"EVERYDAY COUNTER-BIRTHDAY PKG/6-U0481"</f>
        <v>EVERYDAY COUNTER-BIRTHDAY PKG/6-U0481</v>
      </c>
      <c r="D473" s="3" t="s">
        <v>38</v>
      </c>
      <c r="E473" s="3" t="str">
        <f>"ED16HA06"</f>
        <v>ED16HA06</v>
      </c>
    </row>
    <row r="474" spans="1:5" x14ac:dyDescent="0.25">
      <c r="A474" s="3" t="str">
        <f>"349533"</f>
        <v>349533</v>
      </c>
      <c r="B474" s="3" t="str">
        <f>"81983778513"</f>
        <v>81983778513</v>
      </c>
      <c r="C474" t="str">
        <f>"EVERYDAY COUNTER-BIRTHDAY PKG/6-U0482"</f>
        <v>EVERYDAY COUNTER-BIRTHDAY PKG/6-U0482</v>
      </c>
      <c r="D474" s="3" t="s">
        <v>39</v>
      </c>
      <c r="E474" s="3" t="str">
        <f>"ED16HA07"</f>
        <v>ED16HA07</v>
      </c>
    </row>
    <row r="475" spans="1:5" x14ac:dyDescent="0.25">
      <c r="A475" s="3" t="str">
        <f>"349534"</f>
        <v>349534</v>
      </c>
      <c r="B475" s="3" t="str">
        <f>"81983778520"</f>
        <v>81983778520</v>
      </c>
      <c r="C475" t="str">
        <f>"EVERYDAY COUNTER-BIRTHDAY PKG/6-U0483"</f>
        <v>EVERYDAY COUNTER-BIRTHDAY PKG/6-U0483</v>
      </c>
      <c r="D475" s="3" t="s">
        <v>40</v>
      </c>
      <c r="E475" s="3" t="str">
        <f>"ED16HA08"</f>
        <v>ED16HA08</v>
      </c>
    </row>
    <row r="476" spans="1:5" x14ac:dyDescent="0.25">
      <c r="A476" s="3" t="str">
        <f>"349541"</f>
        <v>349541</v>
      </c>
      <c r="B476" s="3" t="str">
        <f>"81983778391"</f>
        <v>81983778391</v>
      </c>
      <c r="C476" t="str">
        <f>"EVERYDAY COUNTER-BIRTHDAY PKG/2-U0470"</f>
        <v>EVERYDAY COUNTER-BIRTHDAY PKG/2-U0470</v>
      </c>
      <c r="D476" s="3" t="s">
        <v>41</v>
      </c>
      <c r="E476" s="3" t="str">
        <f>"ED16HB01"</f>
        <v>ED16HB01</v>
      </c>
    </row>
    <row r="477" spans="1:5" x14ac:dyDescent="0.25">
      <c r="A477" s="3" t="str">
        <f>"349542"</f>
        <v>349542</v>
      </c>
      <c r="B477" s="3" t="str">
        <f>"81983778407"</f>
        <v>81983778407</v>
      </c>
      <c r="C477" t="str">
        <f>"EVERYDAY COUNTER-BIRTHDAY PKG/2-U0471"</f>
        <v>EVERYDAY COUNTER-BIRTHDAY PKG/2-U0471</v>
      </c>
      <c r="D477" s="3" t="s">
        <v>42</v>
      </c>
      <c r="E477" s="3" t="str">
        <f>"ED16HB02"</f>
        <v>ED16HB02</v>
      </c>
    </row>
    <row r="478" spans="1:5" x14ac:dyDescent="0.25">
      <c r="A478" s="3" t="str">
        <f>"349543"</f>
        <v>349543</v>
      </c>
      <c r="B478" s="3" t="str">
        <f>"81983778414"</f>
        <v>81983778414</v>
      </c>
      <c r="C478" t="str">
        <f>"EVERYDAY COUNTER-BIRTHDAY PKG/2-U0472"</f>
        <v>EVERYDAY COUNTER-BIRTHDAY PKG/2-U0472</v>
      </c>
      <c r="D478" s="3" t="s">
        <v>43</v>
      </c>
      <c r="E478" s="3" t="str">
        <f>"ED16HB03"</f>
        <v>ED16HB03</v>
      </c>
    </row>
    <row r="479" spans="1:5" x14ac:dyDescent="0.25">
      <c r="A479" s="3" t="str">
        <f>"349545"</f>
        <v>349545</v>
      </c>
      <c r="B479" s="3" t="str">
        <f>"81983778421"</f>
        <v>81983778421</v>
      </c>
      <c r="C479" t="str">
        <f>"EVERYDAY COUNTER-BIRTHDAY PKG/2-U0473"</f>
        <v>EVERYDAY COUNTER-BIRTHDAY PKG/2-U0473</v>
      </c>
      <c r="D479" s="3" t="s">
        <v>44</v>
      </c>
      <c r="E479" s="3" t="str">
        <f>"ED16HB04"</f>
        <v>ED16HB04</v>
      </c>
    </row>
    <row r="480" spans="1:5" x14ac:dyDescent="0.25">
      <c r="A480" s="3" t="str">
        <f>"349525"</f>
        <v>349525</v>
      </c>
      <c r="B480" s="3" t="str">
        <f>"81983778438"</f>
        <v>81983778438</v>
      </c>
      <c r="C480" t="str">
        <f>"EVERYDAY COUNTER-BIRTHDAY PKG/6-U0474"</f>
        <v>EVERYDAY COUNTER-BIRTHDAY PKG/6-U0474</v>
      </c>
      <c r="D480" s="3" t="s">
        <v>45</v>
      </c>
      <c r="E480" s="3" t="str">
        <f>"ED16HB05"</f>
        <v>ED16HB05</v>
      </c>
    </row>
    <row r="481" spans="1:5" x14ac:dyDescent="0.25">
      <c r="A481" s="3" t="str">
        <f>"349526"</f>
        <v>349526</v>
      </c>
      <c r="B481" s="3" t="str">
        <f>"81983778445"</f>
        <v>81983778445</v>
      </c>
      <c r="C481" t="str">
        <f>"EVERYDAY COUNTER-BIRTHDAY PKG/6-U0475"</f>
        <v>EVERYDAY COUNTER-BIRTHDAY PKG/6-U0475</v>
      </c>
      <c r="D481" s="3" t="s">
        <v>46</v>
      </c>
      <c r="E481" s="3" t="str">
        <f>"ED16HB06"</f>
        <v>ED16HB06</v>
      </c>
    </row>
    <row r="482" spans="1:5" x14ac:dyDescent="0.25">
      <c r="A482" s="3" t="str">
        <f>"349527"</f>
        <v>349527</v>
      </c>
      <c r="B482" s="3" t="str">
        <f>"81983778452"</f>
        <v>81983778452</v>
      </c>
      <c r="C482" t="str">
        <f>"EVERYDAY COUNTER-BIRTHDAY PKG/6-U0476"</f>
        <v>EVERYDAY COUNTER-BIRTHDAY PKG/6-U0476</v>
      </c>
      <c r="D482" s="3" t="s">
        <v>47</v>
      </c>
      <c r="E482" s="3" t="str">
        <f>"ED16HB07"</f>
        <v>ED16HB07</v>
      </c>
    </row>
    <row r="483" spans="1:5" x14ac:dyDescent="0.25">
      <c r="A483" s="3" t="str">
        <f>"349528"</f>
        <v>349528</v>
      </c>
      <c r="B483" s="3" t="str">
        <f>"81983778469"</f>
        <v>81983778469</v>
      </c>
      <c r="C483" t="str">
        <f>"EVERYDAY COUNTER-BIRTHDAY PKG/6-U0477"</f>
        <v>EVERYDAY COUNTER-BIRTHDAY PKG/6-U0477</v>
      </c>
      <c r="D483" s="3" t="s">
        <v>48</v>
      </c>
      <c r="E483" s="3" t="str">
        <f>"ED16HB08"</f>
        <v>ED16HB08</v>
      </c>
    </row>
    <row r="484" spans="1:5" x14ac:dyDescent="0.25">
      <c r="A484" s="3" t="str">
        <f>"374842"</f>
        <v>374842</v>
      </c>
      <c r="B484" s="3" t="str">
        <f>"081983789069"</f>
        <v>081983789069</v>
      </c>
      <c r="C484" t="str">
        <f>"EVERYDAY COUNTER-CONGRATULATIONS-PREMIUM PKG/2"</f>
        <v>EVERYDAY COUNTER-CONGRATULATIONS-PREMIUM PKG/2</v>
      </c>
      <c r="D484" s="3" t="str">
        <f>"U1992"</f>
        <v>U1992</v>
      </c>
      <c r="E484" s="3" t="str">
        <f>"ED16HC01"</f>
        <v>ED16HC01</v>
      </c>
    </row>
    <row r="485" spans="1:5" x14ac:dyDescent="0.25">
      <c r="A485" s="3" t="str">
        <f>"345230"</f>
        <v>345230</v>
      </c>
      <c r="B485" s="3" t="str">
        <f>"81983789052"</f>
        <v>81983789052</v>
      </c>
      <c r="C485" t="str">
        <f>"EVERYDAY COUNTER-CONGRATULATIONS-PREMIUM PKG/2"</f>
        <v>EVERYDAY COUNTER-CONGRATULATIONS-PREMIUM PKG/2</v>
      </c>
      <c r="D485" s="3" t="str">
        <f>"U1991"</f>
        <v>U1991</v>
      </c>
      <c r="E485" s="3" t="str">
        <f>"ED16HC02"</f>
        <v>ED16HC02</v>
      </c>
    </row>
    <row r="486" spans="1:5" x14ac:dyDescent="0.25">
      <c r="A486" s="3" t="str">
        <f>"345273"</f>
        <v>345273</v>
      </c>
      <c r="B486" s="3" t="str">
        <f>"81983794605"</f>
        <v>81983794605</v>
      </c>
      <c r="C486" t="str">
        <f>"EVERYDAY COUNTER-CONGRATULATIONS GRADUATE PKG/6"</f>
        <v>EVERYDAY COUNTER-CONGRATULATIONS GRADUATE PKG/6</v>
      </c>
      <c r="D486" s="3" t="str">
        <f>"U2679"</f>
        <v>U2679</v>
      </c>
      <c r="E486" s="3" t="str">
        <f>"ED16HC03"</f>
        <v>ED16HC03</v>
      </c>
    </row>
    <row r="487" spans="1:5" x14ac:dyDescent="0.25">
      <c r="A487" s="3" t="str">
        <f>"345228"</f>
        <v>345228</v>
      </c>
      <c r="B487" s="3" t="str">
        <f>"81983789045"</f>
        <v>81983789045</v>
      </c>
      <c r="C487" t="str">
        <f>"EVERYDAY COUNTER-CONGRATULATIONS-PREMIUM PKG/2"</f>
        <v>EVERYDAY COUNTER-CONGRATULATIONS-PREMIUM PKG/2</v>
      </c>
      <c r="D487" s="3" t="str">
        <f>"U1990"</f>
        <v>U1990</v>
      </c>
      <c r="E487" s="3" t="str">
        <f>"ED16HC04"</f>
        <v>ED16HC04</v>
      </c>
    </row>
    <row r="488" spans="1:5" x14ac:dyDescent="0.25">
      <c r="A488" s="3" t="str">
        <f>"345272"</f>
        <v>345272</v>
      </c>
      <c r="B488" s="3" t="str">
        <f>"81983794599"</f>
        <v>81983794599</v>
      </c>
      <c r="C488" t="str">
        <f>"EVERYDAY COUNTER-CONGRATULATIONS GRADUATE PKG/6"</f>
        <v>EVERYDAY COUNTER-CONGRATULATIONS GRADUATE PKG/6</v>
      </c>
      <c r="D488" s="3" t="str">
        <f>"U2678"</f>
        <v>U2678</v>
      </c>
      <c r="E488" s="3" t="str">
        <f>"ED16HC05"</f>
        <v>ED16HC05</v>
      </c>
    </row>
    <row r="489" spans="1:5" x14ac:dyDescent="0.25">
      <c r="A489" s="3" t="str">
        <f>"345271"</f>
        <v>345271</v>
      </c>
      <c r="B489" s="3" t="str">
        <f>"81983794582"</f>
        <v>81983794582</v>
      </c>
      <c r="C489" t="str">
        <f>"EVERYDAY COUNTER-CONGRATULATIONS/BABY SHOWER PKG/6"</f>
        <v>EVERYDAY COUNTER-CONGRATULATIONS/BABY SHOWER PKG/6</v>
      </c>
      <c r="D489" s="3" t="str">
        <f>"U2677"</f>
        <v>U2677</v>
      </c>
      <c r="E489" s="3" t="str">
        <f>"ED16HC06"</f>
        <v>ED16HC06</v>
      </c>
    </row>
    <row r="490" spans="1:5" x14ac:dyDescent="0.25">
      <c r="A490" s="3" t="str">
        <f>"345227"</f>
        <v>345227</v>
      </c>
      <c r="B490" s="3" t="str">
        <f>"81983789038"</f>
        <v>81983789038</v>
      </c>
      <c r="C490" t="str">
        <f>"EVERYDAY COUNTER-BABY CONGRATS-PREMIUM PKG/2"</f>
        <v>EVERYDAY COUNTER-BABY CONGRATS-PREMIUM PKG/2</v>
      </c>
      <c r="D490" s="3" t="str">
        <f>"U1989"</f>
        <v>U1989</v>
      </c>
      <c r="E490" s="3" t="str">
        <f>"ED16HC07"</f>
        <v>ED16HC07</v>
      </c>
    </row>
    <row r="491" spans="1:5" x14ac:dyDescent="0.25">
      <c r="A491" s="3" t="str">
        <f>"345270"</f>
        <v>345270</v>
      </c>
      <c r="B491" s="3" t="str">
        <f>"81983794575"</f>
        <v>81983794575</v>
      </c>
      <c r="C491" t="str">
        <f>"EVERYDAY COUNTER-CONGRATULATIONS BABY PKG/6"</f>
        <v>EVERYDAY COUNTER-CONGRATULATIONS BABY PKG/6</v>
      </c>
      <c r="D491" s="3" t="str">
        <f>"U2676"</f>
        <v>U2676</v>
      </c>
      <c r="E491" s="3" t="str">
        <f>"ED16HC08"</f>
        <v>ED16HC08</v>
      </c>
    </row>
    <row r="492" spans="1:5" x14ac:dyDescent="0.25">
      <c r="A492" s="3" t="str">
        <f>"345278"</f>
        <v>345278</v>
      </c>
      <c r="B492" s="3" t="str">
        <f>"81983794650"</f>
        <v>81983794650</v>
      </c>
      <c r="C492" t="str">
        <f>"EVERYDAY COUNTER-ENCOURAGEMENT PKG/6-U2684"</f>
        <v>EVERYDAY COUNTER-ENCOURAGEMENT PKG/6-U2684</v>
      </c>
      <c r="D492" s="3" t="s">
        <v>49</v>
      </c>
      <c r="E492" s="3" t="str">
        <f>"ED16HD01"</f>
        <v>ED16HD01</v>
      </c>
    </row>
    <row r="493" spans="1:5" x14ac:dyDescent="0.25">
      <c r="A493" s="3" t="str">
        <f>"345279"</f>
        <v>345279</v>
      </c>
      <c r="B493" s="3" t="str">
        <f>"81983794667"</f>
        <v>81983794667</v>
      </c>
      <c r="C493" t="str">
        <f>"EVERYDAY COUNTER-ENCOURAGEMENT PKG/6-U2685"</f>
        <v>EVERYDAY COUNTER-ENCOURAGEMENT PKG/6-U2685</v>
      </c>
      <c r="D493" s="3" t="s">
        <v>50</v>
      </c>
      <c r="E493" s="3" t="str">
        <f>"ED16HD02"</f>
        <v>ED16HD02</v>
      </c>
    </row>
    <row r="494" spans="1:5" x14ac:dyDescent="0.25">
      <c r="A494" s="3" t="str">
        <f>"345280"</f>
        <v>345280</v>
      </c>
      <c r="B494" s="3" t="str">
        <f>"81983794674"</f>
        <v>81983794674</v>
      </c>
      <c r="C494" t="str">
        <f>"EVERYDAY COUNTER-ENCOURAGEMENT PKG/6-U2686"</f>
        <v>EVERYDAY COUNTER-ENCOURAGEMENT PKG/6-U2686</v>
      </c>
      <c r="D494" s="3" t="s">
        <v>51</v>
      </c>
      <c r="E494" s="3" t="str">
        <f>"ED16HD03"</f>
        <v>ED16HD03</v>
      </c>
    </row>
    <row r="495" spans="1:5" x14ac:dyDescent="0.25">
      <c r="A495" s="3" t="str">
        <f>"345281"</f>
        <v>345281</v>
      </c>
      <c r="B495" s="3" t="str">
        <f>"81983794681"</f>
        <v>81983794681</v>
      </c>
      <c r="C495" t="str">
        <f>"EVERYDAY COUNTER-ENCOURAGEMENT PKG/6-U2687"</f>
        <v>EVERYDAY COUNTER-ENCOURAGEMENT PKG/6-U2687</v>
      </c>
      <c r="D495" s="3" t="s">
        <v>52</v>
      </c>
      <c r="E495" s="3" t="str">
        <f>"ED16HD04"</f>
        <v>ED16HD04</v>
      </c>
    </row>
    <row r="496" spans="1:5" x14ac:dyDescent="0.25">
      <c r="A496" s="3" t="str">
        <f>"345282"</f>
        <v>345282</v>
      </c>
      <c r="B496" s="3" t="str">
        <f>"81983794698"</f>
        <v>81983794698</v>
      </c>
      <c r="C496" t="str">
        <f>"EVERYDAY COUNTER-ENCOURAGEMENT PKG/6-U2688"</f>
        <v>EVERYDAY COUNTER-ENCOURAGEMENT PKG/6-U2688</v>
      </c>
      <c r="D496" s="3" t="s">
        <v>53</v>
      </c>
      <c r="E496" s="3" t="str">
        <f>"ED16HD05"</f>
        <v>ED16HD05</v>
      </c>
    </row>
    <row r="497" spans="1:5" x14ac:dyDescent="0.25">
      <c r="A497" s="3" t="str">
        <f>"345283"</f>
        <v>345283</v>
      </c>
      <c r="B497" s="3" t="str">
        <f>"81983794704"</f>
        <v>81983794704</v>
      </c>
      <c r="C497" t="str">
        <f>"EVERYDAY COUNTER-ENCOURAGEMENT PKG/6-U2689"</f>
        <v>EVERYDAY COUNTER-ENCOURAGEMENT PKG/6-U2689</v>
      </c>
      <c r="D497" s="3" t="s">
        <v>54</v>
      </c>
      <c r="E497" s="3" t="str">
        <f>"ED16HD06"</f>
        <v>ED16HD06</v>
      </c>
    </row>
    <row r="498" spans="1:5" x14ac:dyDescent="0.25">
      <c r="A498" s="3" t="str">
        <f>"345284"</f>
        <v>345284</v>
      </c>
      <c r="B498" s="3" t="str">
        <f>"81983794711"</f>
        <v>81983794711</v>
      </c>
      <c r="C498" t="str">
        <f>"EVERYDAY COUNTER-ENCOURAGEMENT PKG/6-U2690"</f>
        <v>EVERYDAY COUNTER-ENCOURAGEMENT PKG/6-U2690</v>
      </c>
      <c r="D498" s="3" t="s">
        <v>55</v>
      </c>
      <c r="E498" s="3" t="str">
        <f>"ED16HD07"</f>
        <v>ED16HD07</v>
      </c>
    </row>
    <row r="499" spans="1:5" x14ac:dyDescent="0.25">
      <c r="A499" s="3" t="str">
        <f>"345285"</f>
        <v>345285</v>
      </c>
      <c r="B499" s="3" t="str">
        <f>"81983794728"</f>
        <v>81983794728</v>
      </c>
      <c r="C499" t="str">
        <f>"EVERYDAY COUNTER-ENCOURAGEMENT PKG/6-U2691"</f>
        <v>EVERYDAY COUNTER-ENCOURAGEMENT PKG/6-U2691</v>
      </c>
      <c r="D499" s="3" t="s">
        <v>56</v>
      </c>
      <c r="E499" s="3" t="str">
        <f>"ED16HD08"</f>
        <v>ED16HD08</v>
      </c>
    </row>
  </sheetData>
  <autoFilter ref="A3:E3" xr:uid="{EEF96A00-6B92-4C68-B57E-C33A91EA564B}">
    <sortState xmlns:xlrd2="http://schemas.microsoft.com/office/spreadsheetml/2017/richdata2" ref="A4:E499">
      <sortCondition ref="E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dcterms:created xsi:type="dcterms:W3CDTF">2024-07-25T17:01:37Z</dcterms:created>
  <dcterms:modified xsi:type="dcterms:W3CDTF">2025-02-25T15:42:06Z</dcterms:modified>
</cp:coreProperties>
</file>