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8_{5B3ABF99-D034-4671-B940-CE735A5EFCAF}" xr6:coauthVersionLast="47" xr6:coauthVersionMax="47" xr10:uidLastSave="{00000000-0000-0000-0000-000000000000}"/>
  <bookViews>
    <workbookView xWindow="-120" yWindow="-120" windowWidth="29040" windowHeight="16440" xr2:uid="{459A634C-5EEC-4734-8BB8-F25EE1592CC1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B4" i="1"/>
  <c r="A4" i="1"/>
  <c r="E5" i="1"/>
  <c r="C5" i="1"/>
  <c r="B5" i="1"/>
  <c r="A5" i="1"/>
  <c r="E6" i="1"/>
  <c r="C6" i="1"/>
  <c r="B6" i="1"/>
  <c r="A6" i="1"/>
  <c r="E7" i="1"/>
  <c r="C7" i="1"/>
  <c r="B7" i="1"/>
  <c r="A7" i="1"/>
  <c r="E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C15" i="1"/>
  <c r="B15" i="1"/>
  <c r="A15" i="1"/>
  <c r="E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C21" i="1"/>
  <c r="B21" i="1"/>
  <c r="A21" i="1"/>
  <c r="E22" i="1"/>
  <c r="D22" i="1"/>
  <c r="C22" i="1"/>
  <c r="B22" i="1"/>
  <c r="A22" i="1"/>
  <c r="E23" i="1"/>
  <c r="C23" i="1"/>
  <c r="B23" i="1"/>
  <c r="A23" i="1"/>
  <c r="E24" i="1"/>
  <c r="C24" i="1"/>
  <c r="B24" i="1"/>
  <c r="A24" i="1"/>
  <c r="E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C31" i="1"/>
  <c r="B31" i="1"/>
  <c r="A31" i="1"/>
  <c r="E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C127" i="1"/>
  <c r="B127" i="1"/>
  <c r="A127" i="1"/>
  <c r="E128" i="1"/>
  <c r="C128" i="1"/>
  <c r="B128" i="1"/>
  <c r="A128" i="1"/>
  <c r="E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C156" i="1"/>
  <c r="B156" i="1"/>
  <c r="A156" i="1"/>
  <c r="E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C162" i="1"/>
  <c r="B162" i="1"/>
  <c r="A162" i="1"/>
  <c r="E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C237" i="1"/>
  <c r="B237" i="1"/>
  <c r="A237" i="1"/>
  <c r="E238" i="1"/>
  <c r="D238" i="1"/>
  <c r="C238" i="1"/>
  <c r="B238" i="1"/>
  <c r="A238" i="1"/>
  <c r="E239" i="1"/>
  <c r="C239" i="1"/>
  <c r="B239" i="1"/>
  <c r="A239" i="1"/>
  <c r="E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C244" i="1"/>
  <c r="B244" i="1"/>
  <c r="A244" i="1"/>
  <c r="E245" i="1"/>
  <c r="C245" i="1"/>
  <c r="B245" i="1"/>
  <c r="A245" i="1"/>
  <c r="E246" i="1"/>
  <c r="C246" i="1"/>
  <c r="B246" i="1"/>
  <c r="A246" i="1"/>
  <c r="E247" i="1"/>
  <c r="C247" i="1"/>
  <c r="B247" i="1"/>
  <c r="A247" i="1"/>
  <c r="E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C255" i="1"/>
  <c r="B255" i="1"/>
  <c r="A255" i="1"/>
  <c r="E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C261" i="1"/>
  <c r="B261" i="1"/>
  <c r="A261" i="1"/>
  <c r="E262" i="1"/>
  <c r="D262" i="1"/>
  <c r="C262" i="1"/>
  <c r="B262" i="1"/>
  <c r="A262" i="1"/>
  <c r="E263" i="1"/>
  <c r="C263" i="1"/>
  <c r="B263" i="1"/>
  <c r="A263" i="1"/>
  <c r="E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C286" i="1"/>
  <c r="B286" i="1"/>
  <c r="A286" i="1"/>
  <c r="E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C292" i="1"/>
  <c r="B292" i="1"/>
  <c r="A292" i="1"/>
  <c r="E293" i="1"/>
  <c r="D293" i="1"/>
  <c r="C293" i="1"/>
  <c r="B293" i="1"/>
  <c r="A293" i="1"/>
  <c r="E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C344" i="1"/>
  <c r="B344" i="1"/>
  <c r="A344" i="1"/>
  <c r="E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D353" i="1"/>
  <c r="C353" i="1"/>
  <c r="B353" i="1"/>
  <c r="A353" i="1"/>
  <c r="E354" i="1"/>
  <c r="D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D361" i="1"/>
  <c r="C361" i="1"/>
  <c r="B361" i="1"/>
  <c r="A361" i="1"/>
  <c r="E362" i="1"/>
  <c r="D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D369" i="1"/>
  <c r="C369" i="1"/>
  <c r="B369" i="1"/>
  <c r="A369" i="1"/>
  <c r="E370" i="1"/>
  <c r="D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D377" i="1"/>
  <c r="C377" i="1"/>
  <c r="B377" i="1"/>
  <c r="A377" i="1"/>
  <c r="E378" i="1"/>
  <c r="D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D468" i="1"/>
  <c r="C468" i="1"/>
  <c r="B468" i="1"/>
  <c r="A468" i="1"/>
  <c r="E469" i="1"/>
  <c r="D469" i="1"/>
  <c r="C469" i="1"/>
  <c r="B469" i="1"/>
  <c r="A469" i="1"/>
  <c r="E470" i="1"/>
  <c r="D470" i="1"/>
  <c r="C470" i="1"/>
  <c r="B470" i="1"/>
  <c r="A470" i="1"/>
  <c r="E471" i="1"/>
  <c r="D471" i="1"/>
  <c r="C471" i="1"/>
  <c r="B471" i="1"/>
  <c r="A471" i="1"/>
  <c r="E472" i="1"/>
  <c r="D472" i="1"/>
  <c r="C472" i="1"/>
  <c r="B472" i="1"/>
  <c r="A472" i="1"/>
  <c r="E473" i="1"/>
  <c r="D473" i="1"/>
  <c r="C473" i="1"/>
  <c r="B473" i="1"/>
  <c r="A473" i="1"/>
  <c r="E474" i="1"/>
  <c r="D474" i="1"/>
  <c r="C474" i="1"/>
  <c r="B474" i="1"/>
  <c r="A474" i="1"/>
  <c r="E475" i="1"/>
  <c r="D475" i="1"/>
  <c r="C475" i="1"/>
  <c r="B475" i="1"/>
  <c r="A475" i="1"/>
  <c r="E476" i="1"/>
  <c r="D476" i="1"/>
  <c r="C476" i="1"/>
  <c r="B476" i="1"/>
  <c r="A476" i="1"/>
  <c r="E477" i="1"/>
  <c r="D477" i="1"/>
  <c r="C477" i="1"/>
  <c r="B477" i="1"/>
  <c r="A477" i="1"/>
  <c r="E478" i="1"/>
  <c r="D478" i="1"/>
  <c r="C478" i="1"/>
  <c r="B478" i="1"/>
  <c r="A478" i="1"/>
  <c r="E479" i="1"/>
  <c r="D479" i="1"/>
  <c r="C479" i="1"/>
  <c r="B479" i="1"/>
  <c r="A479" i="1"/>
  <c r="E480" i="1"/>
  <c r="D480" i="1"/>
  <c r="C480" i="1"/>
  <c r="B480" i="1"/>
  <c r="A480" i="1"/>
  <c r="E481" i="1"/>
  <c r="D481" i="1"/>
  <c r="C481" i="1"/>
  <c r="B481" i="1"/>
  <c r="A481" i="1"/>
  <c r="E482" i="1"/>
  <c r="D482" i="1"/>
  <c r="C482" i="1"/>
  <c r="B482" i="1"/>
  <c r="A482" i="1"/>
  <c r="E483" i="1"/>
  <c r="D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D492" i="1"/>
  <c r="C492" i="1"/>
  <c r="B492" i="1"/>
  <c r="A492" i="1"/>
  <c r="E493" i="1"/>
  <c r="D493" i="1"/>
  <c r="C493" i="1"/>
  <c r="B493" i="1"/>
  <c r="A493" i="1"/>
  <c r="E494" i="1"/>
  <c r="D494" i="1"/>
  <c r="C494" i="1"/>
  <c r="B494" i="1"/>
  <c r="A494" i="1"/>
  <c r="E495" i="1"/>
  <c r="D495" i="1"/>
  <c r="C495" i="1"/>
  <c r="B495" i="1"/>
  <c r="A495" i="1"/>
  <c r="E496" i="1"/>
  <c r="D496" i="1"/>
  <c r="C496" i="1"/>
  <c r="B496" i="1"/>
  <c r="A496" i="1"/>
  <c r="E497" i="1"/>
  <c r="D497" i="1"/>
  <c r="C497" i="1"/>
  <c r="B497" i="1"/>
  <c r="A497" i="1"/>
  <c r="E498" i="1"/>
  <c r="D498" i="1"/>
  <c r="C498" i="1"/>
  <c r="B498" i="1"/>
  <c r="A498" i="1"/>
  <c r="E499" i="1"/>
  <c r="D499" i="1"/>
  <c r="C499" i="1"/>
  <c r="B499" i="1"/>
  <c r="A499" i="1"/>
  <c r="E500" i="1"/>
  <c r="D500" i="1"/>
  <c r="C500" i="1"/>
  <c r="B500" i="1"/>
  <c r="A500" i="1"/>
  <c r="E501" i="1"/>
  <c r="D501" i="1"/>
  <c r="C501" i="1"/>
  <c r="B501" i="1"/>
  <c r="A501" i="1"/>
  <c r="E502" i="1"/>
  <c r="D502" i="1"/>
  <c r="C502" i="1"/>
  <c r="B502" i="1"/>
  <c r="A502" i="1"/>
  <c r="E503" i="1"/>
  <c r="D503" i="1"/>
  <c r="C503" i="1"/>
  <c r="B503" i="1"/>
  <c r="A503" i="1"/>
  <c r="E504" i="1"/>
  <c r="D504" i="1"/>
  <c r="C504" i="1"/>
  <c r="B504" i="1"/>
  <c r="A504" i="1"/>
  <c r="E505" i="1"/>
  <c r="D505" i="1"/>
  <c r="C505" i="1"/>
  <c r="B505" i="1"/>
  <c r="A505" i="1"/>
  <c r="E506" i="1"/>
  <c r="D506" i="1"/>
  <c r="C506" i="1"/>
  <c r="B506" i="1"/>
  <c r="A506" i="1"/>
  <c r="E507" i="1"/>
  <c r="D507" i="1"/>
  <c r="C507" i="1"/>
  <c r="B507" i="1"/>
  <c r="A507" i="1"/>
  <c r="E508" i="1"/>
  <c r="D508" i="1"/>
  <c r="C508" i="1"/>
  <c r="B508" i="1"/>
  <c r="A508" i="1"/>
  <c r="E509" i="1"/>
  <c r="D509" i="1"/>
  <c r="C509" i="1"/>
  <c r="B509" i="1"/>
  <c r="A509" i="1"/>
  <c r="E510" i="1"/>
  <c r="D510" i="1"/>
  <c r="C510" i="1"/>
  <c r="B510" i="1"/>
  <c r="A510" i="1"/>
  <c r="E511" i="1"/>
  <c r="D511" i="1"/>
  <c r="C511" i="1"/>
  <c r="B511" i="1"/>
  <c r="A511" i="1"/>
  <c r="E512" i="1"/>
  <c r="D512" i="1"/>
  <c r="C512" i="1"/>
  <c r="B512" i="1"/>
  <c r="A512" i="1"/>
  <c r="E513" i="1"/>
  <c r="D513" i="1"/>
  <c r="C513" i="1"/>
  <c r="B513" i="1"/>
  <c r="A513" i="1"/>
  <c r="E514" i="1"/>
  <c r="D514" i="1"/>
  <c r="C514" i="1"/>
  <c r="B514" i="1"/>
  <c r="A514" i="1"/>
  <c r="E515" i="1"/>
  <c r="D515" i="1"/>
  <c r="C515" i="1"/>
  <c r="B515" i="1"/>
  <c r="A515" i="1"/>
  <c r="E516" i="1"/>
  <c r="D516" i="1"/>
  <c r="C516" i="1"/>
  <c r="B516" i="1"/>
  <c r="A516" i="1"/>
  <c r="E517" i="1"/>
  <c r="D517" i="1"/>
  <c r="C517" i="1"/>
  <c r="B517" i="1"/>
  <c r="A517" i="1"/>
  <c r="E518" i="1"/>
  <c r="D518" i="1"/>
  <c r="C518" i="1"/>
  <c r="B518" i="1"/>
  <c r="A518" i="1"/>
  <c r="E519" i="1"/>
  <c r="D519" i="1"/>
  <c r="C519" i="1"/>
  <c r="B519" i="1"/>
  <c r="A519" i="1"/>
  <c r="E520" i="1"/>
  <c r="D520" i="1"/>
  <c r="C520" i="1"/>
  <c r="B520" i="1"/>
  <c r="A520" i="1"/>
  <c r="E521" i="1"/>
  <c r="D521" i="1"/>
  <c r="C521" i="1"/>
  <c r="B521" i="1"/>
  <c r="A521" i="1"/>
  <c r="E522" i="1"/>
  <c r="D522" i="1"/>
  <c r="C522" i="1"/>
  <c r="B522" i="1"/>
  <c r="A522" i="1"/>
  <c r="E523" i="1"/>
  <c r="D523" i="1"/>
  <c r="C523" i="1"/>
  <c r="B523" i="1"/>
  <c r="A523" i="1"/>
  <c r="E524" i="1"/>
  <c r="D524" i="1"/>
  <c r="C524" i="1"/>
  <c r="B524" i="1"/>
  <c r="A524" i="1"/>
  <c r="E525" i="1"/>
  <c r="D525" i="1"/>
  <c r="C525" i="1"/>
  <c r="B525" i="1"/>
  <c r="A525" i="1"/>
  <c r="E526" i="1"/>
  <c r="D526" i="1"/>
  <c r="C526" i="1"/>
  <c r="B526" i="1"/>
  <c r="A526" i="1"/>
  <c r="E527" i="1"/>
  <c r="D527" i="1"/>
  <c r="C527" i="1"/>
  <c r="B527" i="1"/>
  <c r="A527" i="1"/>
  <c r="E528" i="1"/>
  <c r="D528" i="1"/>
  <c r="C528" i="1"/>
  <c r="B528" i="1"/>
  <c r="A528" i="1"/>
  <c r="E529" i="1"/>
  <c r="D529" i="1"/>
  <c r="C529" i="1"/>
  <c r="B529" i="1"/>
  <c r="A529" i="1"/>
  <c r="E530" i="1"/>
  <c r="D530" i="1"/>
  <c r="C530" i="1"/>
  <c r="B530" i="1"/>
  <c r="A530" i="1"/>
  <c r="E531" i="1"/>
  <c r="D531" i="1"/>
  <c r="C531" i="1"/>
  <c r="B531" i="1"/>
  <c r="A531" i="1"/>
  <c r="E532" i="1"/>
  <c r="D532" i="1"/>
  <c r="C532" i="1"/>
  <c r="B532" i="1"/>
  <c r="A532" i="1"/>
  <c r="E533" i="1"/>
  <c r="D533" i="1"/>
  <c r="C533" i="1"/>
  <c r="B533" i="1"/>
  <c r="A533" i="1"/>
  <c r="E534" i="1"/>
  <c r="D534" i="1"/>
  <c r="C534" i="1"/>
  <c r="B534" i="1"/>
  <c r="A534" i="1"/>
  <c r="E535" i="1"/>
  <c r="D535" i="1"/>
  <c r="C535" i="1"/>
  <c r="B535" i="1"/>
  <c r="A535" i="1"/>
  <c r="E536" i="1"/>
  <c r="D536" i="1"/>
  <c r="C536" i="1"/>
  <c r="B536" i="1"/>
  <c r="A536" i="1"/>
  <c r="E537" i="1"/>
  <c r="D537" i="1"/>
  <c r="C537" i="1"/>
  <c r="B537" i="1"/>
  <c r="A537" i="1"/>
  <c r="E538" i="1"/>
  <c r="D538" i="1"/>
  <c r="C538" i="1"/>
  <c r="B538" i="1"/>
  <c r="A538" i="1"/>
  <c r="E539" i="1"/>
  <c r="D539" i="1"/>
  <c r="C539" i="1"/>
  <c r="B539" i="1"/>
  <c r="A539" i="1"/>
  <c r="E540" i="1"/>
  <c r="D540" i="1"/>
  <c r="C540" i="1"/>
  <c r="B540" i="1"/>
  <c r="A540" i="1"/>
  <c r="E541" i="1"/>
  <c r="D541" i="1"/>
  <c r="C541" i="1"/>
  <c r="B541" i="1"/>
  <c r="A541" i="1"/>
  <c r="E542" i="1"/>
  <c r="D542" i="1"/>
  <c r="C542" i="1"/>
  <c r="B542" i="1"/>
  <c r="A542" i="1"/>
  <c r="E543" i="1"/>
  <c r="D543" i="1"/>
  <c r="C543" i="1"/>
  <c r="B543" i="1"/>
  <c r="A543" i="1"/>
  <c r="E544" i="1"/>
  <c r="D544" i="1"/>
  <c r="C544" i="1"/>
  <c r="B544" i="1"/>
  <c r="A544" i="1"/>
  <c r="E545" i="1"/>
  <c r="D545" i="1"/>
  <c r="C545" i="1"/>
  <c r="B545" i="1"/>
  <c r="A545" i="1"/>
  <c r="E546" i="1"/>
  <c r="D546" i="1"/>
  <c r="C546" i="1"/>
  <c r="B546" i="1"/>
  <c r="A546" i="1"/>
  <c r="E547" i="1"/>
  <c r="D547" i="1"/>
  <c r="C547" i="1"/>
  <c r="B547" i="1"/>
  <c r="A547" i="1"/>
  <c r="E548" i="1"/>
  <c r="D548" i="1"/>
  <c r="C548" i="1"/>
  <c r="B548" i="1"/>
  <c r="A548" i="1"/>
  <c r="E549" i="1"/>
  <c r="D549" i="1"/>
  <c r="C549" i="1"/>
  <c r="B549" i="1"/>
  <c r="A549" i="1"/>
  <c r="E550" i="1"/>
  <c r="D550" i="1"/>
  <c r="C550" i="1"/>
  <c r="B550" i="1"/>
  <c r="A550" i="1"/>
  <c r="E551" i="1"/>
  <c r="D551" i="1"/>
  <c r="C551" i="1"/>
  <c r="B551" i="1"/>
  <c r="A551" i="1"/>
  <c r="E552" i="1"/>
  <c r="D552" i="1"/>
  <c r="C552" i="1"/>
  <c r="B552" i="1"/>
  <c r="A552" i="1"/>
  <c r="E553" i="1"/>
  <c r="D553" i="1"/>
  <c r="C553" i="1"/>
  <c r="B553" i="1"/>
  <c r="A553" i="1"/>
  <c r="E554" i="1"/>
  <c r="D554" i="1"/>
  <c r="C554" i="1"/>
  <c r="B554" i="1"/>
  <c r="A554" i="1"/>
  <c r="E555" i="1"/>
  <c r="D555" i="1"/>
  <c r="C555" i="1"/>
  <c r="B555" i="1"/>
  <c r="A555" i="1"/>
  <c r="E556" i="1"/>
  <c r="D556" i="1"/>
  <c r="C556" i="1"/>
  <c r="B556" i="1"/>
  <c r="A556" i="1"/>
  <c r="E557" i="1"/>
  <c r="D557" i="1"/>
  <c r="C557" i="1"/>
  <c r="B557" i="1"/>
  <c r="A557" i="1"/>
  <c r="E558" i="1"/>
  <c r="D558" i="1"/>
  <c r="C558" i="1"/>
  <c r="B558" i="1"/>
  <c r="A558" i="1"/>
  <c r="E559" i="1"/>
  <c r="D559" i="1"/>
  <c r="C559" i="1"/>
  <c r="B559" i="1"/>
  <c r="A559" i="1"/>
  <c r="E560" i="1"/>
  <c r="D560" i="1"/>
  <c r="C560" i="1"/>
  <c r="B560" i="1"/>
  <c r="A560" i="1"/>
  <c r="E561" i="1"/>
  <c r="D561" i="1"/>
  <c r="C561" i="1"/>
  <c r="B561" i="1"/>
  <c r="A561" i="1"/>
  <c r="E562" i="1"/>
  <c r="D562" i="1"/>
  <c r="C562" i="1"/>
  <c r="B562" i="1"/>
  <c r="A562" i="1"/>
  <c r="E563" i="1"/>
  <c r="D563" i="1"/>
  <c r="C563" i="1"/>
  <c r="B563" i="1"/>
  <c r="A563" i="1"/>
  <c r="E564" i="1"/>
  <c r="D564" i="1"/>
  <c r="C564" i="1"/>
  <c r="B564" i="1"/>
  <c r="A564" i="1"/>
  <c r="E565" i="1"/>
  <c r="D565" i="1"/>
  <c r="C565" i="1"/>
  <c r="B565" i="1"/>
  <c r="A565" i="1"/>
  <c r="E566" i="1"/>
  <c r="D566" i="1"/>
  <c r="C566" i="1"/>
  <c r="B566" i="1"/>
  <c r="A566" i="1"/>
  <c r="E567" i="1"/>
  <c r="D567" i="1"/>
  <c r="C567" i="1"/>
  <c r="B567" i="1"/>
  <c r="A567" i="1"/>
  <c r="E568" i="1"/>
  <c r="D568" i="1"/>
  <c r="C568" i="1"/>
  <c r="B568" i="1"/>
  <c r="A568" i="1"/>
  <c r="E569" i="1"/>
  <c r="D569" i="1"/>
  <c r="C569" i="1"/>
  <c r="B569" i="1"/>
  <c r="A569" i="1"/>
  <c r="E570" i="1"/>
  <c r="D570" i="1"/>
  <c r="C570" i="1"/>
  <c r="B570" i="1"/>
  <c r="A570" i="1"/>
  <c r="E571" i="1"/>
  <c r="D571" i="1"/>
  <c r="C571" i="1"/>
  <c r="B571" i="1"/>
  <c r="A571" i="1"/>
  <c r="E572" i="1"/>
  <c r="D572" i="1"/>
  <c r="C572" i="1"/>
  <c r="B572" i="1"/>
  <c r="A572" i="1"/>
  <c r="E573" i="1"/>
  <c r="D573" i="1"/>
  <c r="C573" i="1"/>
  <c r="B573" i="1"/>
  <c r="A573" i="1"/>
  <c r="E574" i="1"/>
  <c r="D574" i="1"/>
  <c r="C574" i="1"/>
  <c r="B574" i="1"/>
  <c r="A574" i="1"/>
  <c r="E575" i="1"/>
  <c r="D575" i="1"/>
  <c r="C575" i="1"/>
  <c r="B575" i="1"/>
  <c r="A575" i="1"/>
  <c r="E576" i="1"/>
  <c r="D576" i="1"/>
  <c r="C576" i="1"/>
  <c r="B576" i="1"/>
  <c r="A576" i="1"/>
  <c r="E577" i="1"/>
  <c r="D577" i="1"/>
  <c r="C577" i="1"/>
  <c r="B577" i="1"/>
  <c r="A577" i="1"/>
  <c r="E578" i="1"/>
  <c r="D578" i="1"/>
  <c r="C578" i="1"/>
  <c r="B578" i="1"/>
  <c r="A578" i="1"/>
  <c r="E579" i="1"/>
  <c r="D579" i="1"/>
  <c r="C579" i="1"/>
  <c r="B579" i="1"/>
  <c r="A579" i="1"/>
  <c r="E580" i="1"/>
  <c r="D580" i="1"/>
  <c r="C580" i="1"/>
  <c r="B580" i="1"/>
  <c r="A580" i="1"/>
  <c r="E581" i="1"/>
  <c r="D581" i="1"/>
  <c r="C581" i="1"/>
  <c r="B581" i="1"/>
  <c r="A581" i="1"/>
  <c r="E582" i="1"/>
  <c r="D582" i="1"/>
  <c r="C582" i="1"/>
  <c r="B582" i="1"/>
  <c r="A582" i="1"/>
  <c r="E583" i="1"/>
  <c r="D583" i="1"/>
  <c r="C583" i="1"/>
  <c r="B583" i="1"/>
  <c r="A583" i="1"/>
  <c r="E584" i="1"/>
  <c r="D584" i="1"/>
  <c r="C584" i="1"/>
  <c r="B584" i="1"/>
  <c r="A584" i="1"/>
  <c r="E585" i="1"/>
  <c r="C585" i="1"/>
  <c r="B585" i="1"/>
  <c r="A585" i="1"/>
  <c r="E586" i="1"/>
  <c r="C586" i="1"/>
  <c r="B586" i="1"/>
  <c r="A586" i="1"/>
  <c r="E587" i="1"/>
  <c r="D587" i="1"/>
  <c r="C587" i="1"/>
  <c r="B587" i="1"/>
  <c r="A587" i="1"/>
  <c r="E588" i="1"/>
  <c r="D588" i="1"/>
  <c r="C588" i="1"/>
  <c r="B588" i="1"/>
  <c r="A588" i="1"/>
  <c r="E589" i="1"/>
  <c r="D589" i="1"/>
  <c r="C589" i="1"/>
  <c r="B589" i="1"/>
  <c r="A589" i="1"/>
  <c r="E590" i="1"/>
  <c r="D590" i="1"/>
  <c r="C590" i="1"/>
  <c r="B590" i="1"/>
  <c r="A590" i="1"/>
  <c r="E591" i="1"/>
  <c r="D591" i="1"/>
  <c r="C591" i="1"/>
  <c r="B591" i="1"/>
  <c r="A591" i="1"/>
  <c r="E592" i="1"/>
  <c r="D592" i="1"/>
  <c r="C592" i="1"/>
  <c r="B592" i="1"/>
  <c r="A592" i="1"/>
  <c r="E593" i="1"/>
  <c r="C593" i="1"/>
  <c r="B593" i="1"/>
  <c r="A593" i="1"/>
  <c r="E594" i="1"/>
  <c r="C594" i="1"/>
  <c r="B594" i="1"/>
  <c r="A594" i="1"/>
  <c r="E595" i="1"/>
  <c r="D595" i="1"/>
  <c r="C595" i="1"/>
  <c r="B595" i="1"/>
  <c r="A595" i="1"/>
  <c r="E596" i="1"/>
  <c r="D596" i="1"/>
  <c r="C596" i="1"/>
  <c r="B596" i="1"/>
  <c r="A596" i="1"/>
  <c r="E597" i="1"/>
  <c r="D597" i="1"/>
  <c r="C597" i="1"/>
  <c r="B597" i="1"/>
  <c r="A597" i="1"/>
  <c r="E598" i="1"/>
  <c r="D598" i="1"/>
  <c r="C598" i="1"/>
  <c r="B598" i="1"/>
  <c r="A598" i="1"/>
  <c r="E599" i="1"/>
  <c r="D599" i="1"/>
  <c r="C599" i="1"/>
  <c r="B599" i="1"/>
  <c r="A599" i="1"/>
  <c r="E600" i="1"/>
  <c r="D600" i="1"/>
  <c r="C600" i="1"/>
  <c r="B600" i="1"/>
  <c r="A600" i="1"/>
  <c r="E601" i="1"/>
  <c r="C601" i="1"/>
  <c r="B601" i="1"/>
  <c r="A601" i="1"/>
  <c r="E602" i="1"/>
  <c r="C602" i="1"/>
  <c r="B602" i="1"/>
  <c r="A602" i="1"/>
  <c r="E603" i="1"/>
  <c r="D603" i="1"/>
  <c r="C603" i="1"/>
  <c r="B603" i="1"/>
  <c r="A603" i="1"/>
  <c r="E604" i="1"/>
  <c r="D604" i="1"/>
  <c r="C604" i="1"/>
  <c r="B604" i="1"/>
  <c r="A604" i="1"/>
  <c r="E605" i="1"/>
  <c r="D605" i="1"/>
  <c r="C605" i="1"/>
  <c r="B605" i="1"/>
  <c r="A605" i="1"/>
  <c r="E606" i="1"/>
  <c r="D606" i="1"/>
  <c r="C606" i="1"/>
  <c r="B606" i="1"/>
  <c r="A606" i="1"/>
  <c r="E607" i="1"/>
  <c r="D607" i="1"/>
  <c r="C607" i="1"/>
  <c r="B607" i="1"/>
  <c r="A607" i="1"/>
  <c r="E608" i="1"/>
  <c r="D608" i="1"/>
  <c r="C608" i="1"/>
  <c r="B608" i="1"/>
  <c r="A608" i="1"/>
  <c r="E609" i="1"/>
  <c r="C609" i="1"/>
  <c r="B609" i="1"/>
  <c r="A609" i="1"/>
  <c r="E610" i="1"/>
  <c r="C610" i="1"/>
  <c r="B610" i="1"/>
  <c r="A610" i="1"/>
  <c r="E611" i="1"/>
  <c r="D611" i="1"/>
  <c r="C611" i="1"/>
  <c r="B611" i="1"/>
  <c r="A611" i="1"/>
  <c r="E612" i="1"/>
  <c r="D612" i="1"/>
  <c r="C612" i="1"/>
  <c r="B612" i="1"/>
  <c r="A612" i="1"/>
  <c r="E613" i="1"/>
  <c r="D613" i="1"/>
  <c r="C613" i="1"/>
  <c r="B613" i="1"/>
  <c r="A613" i="1"/>
  <c r="E614" i="1"/>
  <c r="D614" i="1"/>
  <c r="C614" i="1"/>
  <c r="B614" i="1"/>
  <c r="A614" i="1"/>
  <c r="E615" i="1"/>
  <c r="D615" i="1"/>
  <c r="C615" i="1"/>
  <c r="B615" i="1"/>
  <c r="A615" i="1"/>
  <c r="E616" i="1"/>
  <c r="D616" i="1"/>
  <c r="C616" i="1"/>
  <c r="B616" i="1"/>
  <c r="A616" i="1"/>
  <c r="E617" i="1"/>
  <c r="D617" i="1"/>
  <c r="C617" i="1"/>
  <c r="B617" i="1"/>
  <c r="A617" i="1"/>
  <c r="E618" i="1"/>
  <c r="D618" i="1"/>
  <c r="C618" i="1"/>
  <c r="B618" i="1"/>
  <c r="A618" i="1"/>
  <c r="E619" i="1"/>
  <c r="D619" i="1"/>
  <c r="C619" i="1"/>
  <c r="B619" i="1"/>
  <c r="A619" i="1"/>
  <c r="E620" i="1"/>
  <c r="D620" i="1"/>
  <c r="C620" i="1"/>
  <c r="B620" i="1"/>
  <c r="A620" i="1"/>
  <c r="E621" i="1"/>
  <c r="D621" i="1"/>
  <c r="C621" i="1"/>
  <c r="B621" i="1"/>
  <c r="A621" i="1"/>
  <c r="E622" i="1"/>
  <c r="D622" i="1"/>
  <c r="C622" i="1"/>
  <c r="B622" i="1"/>
  <c r="A622" i="1"/>
  <c r="E623" i="1"/>
  <c r="D623" i="1"/>
  <c r="C623" i="1"/>
  <c r="B623" i="1"/>
  <c r="A623" i="1"/>
  <c r="E624" i="1"/>
  <c r="D624" i="1"/>
  <c r="C624" i="1"/>
  <c r="B624" i="1"/>
  <c r="A624" i="1"/>
  <c r="E625" i="1"/>
  <c r="D625" i="1"/>
  <c r="C625" i="1"/>
  <c r="B625" i="1"/>
  <c r="A625" i="1"/>
  <c r="E626" i="1"/>
  <c r="D626" i="1"/>
  <c r="C626" i="1"/>
  <c r="B626" i="1"/>
  <c r="A626" i="1"/>
  <c r="E627" i="1"/>
  <c r="D627" i="1"/>
  <c r="C627" i="1"/>
  <c r="B627" i="1"/>
  <c r="A627" i="1"/>
  <c r="E628" i="1"/>
  <c r="D628" i="1"/>
  <c r="C628" i="1"/>
  <c r="B628" i="1"/>
  <c r="A628" i="1"/>
  <c r="E629" i="1"/>
  <c r="D629" i="1"/>
  <c r="C629" i="1"/>
  <c r="B629" i="1"/>
  <c r="A629" i="1"/>
  <c r="E630" i="1"/>
  <c r="D630" i="1"/>
  <c r="C630" i="1"/>
  <c r="B630" i="1"/>
  <c r="A630" i="1"/>
  <c r="E631" i="1"/>
  <c r="D631" i="1"/>
  <c r="C631" i="1"/>
  <c r="B631" i="1"/>
  <c r="A631" i="1"/>
  <c r="E632" i="1"/>
  <c r="D632" i="1"/>
  <c r="C632" i="1"/>
  <c r="B632" i="1"/>
  <c r="A632" i="1"/>
  <c r="E633" i="1"/>
  <c r="D633" i="1"/>
  <c r="C633" i="1"/>
  <c r="B633" i="1"/>
  <c r="A633" i="1"/>
  <c r="E634" i="1"/>
  <c r="D634" i="1"/>
  <c r="C634" i="1"/>
  <c r="B634" i="1"/>
  <c r="A634" i="1"/>
  <c r="E635" i="1"/>
  <c r="D635" i="1"/>
  <c r="C635" i="1"/>
  <c r="B635" i="1"/>
  <c r="A635" i="1"/>
  <c r="E636" i="1"/>
  <c r="D636" i="1"/>
  <c r="C636" i="1"/>
  <c r="B636" i="1"/>
  <c r="A636" i="1"/>
  <c r="E637" i="1"/>
  <c r="D637" i="1"/>
  <c r="C637" i="1"/>
  <c r="B637" i="1"/>
  <c r="A637" i="1"/>
  <c r="E638" i="1"/>
  <c r="D638" i="1"/>
  <c r="C638" i="1"/>
  <c r="B638" i="1"/>
  <c r="A638" i="1"/>
  <c r="E639" i="1"/>
  <c r="D639" i="1"/>
  <c r="C639" i="1"/>
  <c r="B639" i="1"/>
  <c r="A639" i="1"/>
  <c r="E640" i="1"/>
  <c r="D640" i="1"/>
  <c r="C640" i="1"/>
  <c r="B640" i="1"/>
  <c r="A640" i="1"/>
  <c r="E641" i="1"/>
  <c r="D641" i="1"/>
  <c r="C641" i="1"/>
  <c r="B641" i="1"/>
  <c r="A641" i="1"/>
  <c r="E642" i="1"/>
  <c r="D642" i="1"/>
  <c r="C642" i="1"/>
  <c r="B642" i="1"/>
  <c r="A642" i="1"/>
  <c r="E643" i="1"/>
  <c r="D643" i="1"/>
  <c r="C643" i="1"/>
  <c r="B643" i="1"/>
  <c r="A643" i="1"/>
  <c r="E644" i="1"/>
  <c r="D644" i="1"/>
  <c r="C644" i="1"/>
  <c r="B644" i="1"/>
  <c r="A644" i="1"/>
  <c r="E645" i="1"/>
  <c r="D645" i="1"/>
  <c r="C645" i="1"/>
  <c r="B645" i="1"/>
  <c r="A645" i="1"/>
  <c r="E646" i="1"/>
  <c r="D646" i="1"/>
  <c r="C646" i="1"/>
  <c r="B646" i="1"/>
  <c r="A646" i="1"/>
  <c r="E647" i="1"/>
  <c r="D647" i="1"/>
  <c r="C647" i="1"/>
  <c r="B647" i="1"/>
  <c r="A647" i="1"/>
  <c r="E648" i="1"/>
  <c r="D648" i="1"/>
  <c r="C648" i="1"/>
  <c r="B648" i="1"/>
  <c r="A648" i="1"/>
  <c r="E649" i="1"/>
  <c r="D649" i="1"/>
  <c r="C649" i="1"/>
  <c r="B649" i="1"/>
  <c r="A649" i="1"/>
  <c r="E650" i="1"/>
  <c r="D650" i="1"/>
  <c r="C650" i="1"/>
  <c r="B650" i="1"/>
  <c r="A650" i="1"/>
  <c r="E651" i="1"/>
  <c r="D651" i="1"/>
  <c r="C651" i="1"/>
  <c r="B651" i="1"/>
  <c r="A651" i="1"/>
  <c r="E652" i="1"/>
  <c r="D652" i="1"/>
  <c r="C652" i="1"/>
  <c r="B652" i="1"/>
  <c r="A652" i="1"/>
  <c r="E653" i="1"/>
  <c r="D653" i="1"/>
  <c r="C653" i="1"/>
  <c r="B653" i="1"/>
  <c r="A653" i="1"/>
  <c r="E654" i="1"/>
  <c r="D654" i="1"/>
  <c r="C654" i="1"/>
  <c r="B654" i="1"/>
  <c r="A654" i="1"/>
  <c r="E655" i="1"/>
  <c r="D655" i="1"/>
  <c r="C655" i="1"/>
  <c r="B655" i="1"/>
  <c r="A655" i="1"/>
  <c r="E656" i="1"/>
  <c r="D656" i="1"/>
  <c r="C656" i="1"/>
  <c r="B656" i="1"/>
  <c r="A656" i="1"/>
  <c r="E657" i="1"/>
  <c r="D657" i="1"/>
  <c r="C657" i="1"/>
  <c r="B657" i="1"/>
  <c r="A657" i="1"/>
  <c r="E658" i="1"/>
  <c r="D658" i="1"/>
  <c r="C658" i="1"/>
  <c r="B658" i="1"/>
  <c r="A658" i="1"/>
  <c r="E659" i="1"/>
  <c r="D659" i="1"/>
  <c r="C659" i="1"/>
  <c r="B659" i="1"/>
  <c r="A659" i="1"/>
  <c r="E660" i="1"/>
  <c r="D660" i="1"/>
  <c r="C660" i="1"/>
  <c r="B660" i="1"/>
  <c r="A660" i="1"/>
  <c r="E661" i="1"/>
  <c r="D661" i="1"/>
  <c r="C661" i="1"/>
  <c r="B661" i="1"/>
  <c r="A661" i="1"/>
  <c r="E662" i="1"/>
  <c r="D662" i="1"/>
  <c r="C662" i="1"/>
  <c r="B662" i="1"/>
  <c r="A662" i="1"/>
  <c r="E663" i="1"/>
  <c r="D663" i="1"/>
  <c r="C663" i="1"/>
  <c r="B663" i="1"/>
  <c r="A663" i="1"/>
  <c r="E664" i="1"/>
  <c r="D664" i="1"/>
  <c r="C664" i="1"/>
  <c r="B664" i="1"/>
  <c r="A664" i="1"/>
  <c r="E665" i="1"/>
  <c r="D665" i="1"/>
  <c r="C665" i="1"/>
  <c r="B665" i="1"/>
  <c r="A665" i="1"/>
  <c r="E666" i="1"/>
  <c r="D666" i="1"/>
  <c r="C666" i="1"/>
  <c r="B666" i="1"/>
  <c r="A666" i="1"/>
  <c r="E667" i="1"/>
  <c r="D667" i="1"/>
  <c r="C667" i="1"/>
  <c r="B667" i="1"/>
  <c r="A667" i="1"/>
  <c r="E668" i="1"/>
  <c r="D668" i="1"/>
  <c r="C668" i="1"/>
  <c r="B668" i="1"/>
  <c r="A668" i="1"/>
  <c r="E669" i="1"/>
  <c r="D669" i="1"/>
  <c r="C669" i="1"/>
  <c r="B669" i="1"/>
  <c r="A669" i="1"/>
  <c r="E670" i="1"/>
  <c r="D670" i="1"/>
  <c r="C670" i="1"/>
  <c r="B670" i="1"/>
  <c r="A670" i="1"/>
  <c r="E671" i="1"/>
  <c r="D671" i="1"/>
  <c r="C671" i="1"/>
  <c r="B671" i="1"/>
  <c r="A671" i="1"/>
  <c r="E672" i="1"/>
  <c r="D672" i="1"/>
  <c r="C672" i="1"/>
  <c r="B672" i="1"/>
  <c r="A672" i="1"/>
  <c r="E673" i="1"/>
  <c r="D673" i="1"/>
  <c r="C673" i="1"/>
  <c r="B673" i="1"/>
  <c r="A673" i="1"/>
  <c r="E674" i="1"/>
  <c r="D674" i="1"/>
  <c r="C674" i="1"/>
  <c r="B674" i="1"/>
  <c r="A674" i="1"/>
  <c r="E675" i="1"/>
  <c r="D675" i="1"/>
  <c r="C675" i="1"/>
  <c r="B675" i="1"/>
  <c r="A675" i="1"/>
  <c r="E676" i="1"/>
  <c r="D676" i="1"/>
  <c r="C676" i="1"/>
  <c r="B676" i="1"/>
  <c r="A676" i="1"/>
  <c r="E677" i="1"/>
  <c r="D677" i="1"/>
  <c r="C677" i="1"/>
  <c r="B677" i="1"/>
  <c r="A677" i="1"/>
  <c r="E678" i="1"/>
  <c r="D678" i="1"/>
  <c r="C678" i="1"/>
  <c r="B678" i="1"/>
  <c r="A678" i="1"/>
  <c r="E679" i="1"/>
  <c r="D679" i="1"/>
  <c r="C679" i="1"/>
  <c r="B679" i="1"/>
  <c r="A679" i="1"/>
  <c r="E680" i="1"/>
  <c r="D680" i="1"/>
  <c r="C680" i="1"/>
  <c r="B680" i="1"/>
  <c r="A680" i="1"/>
  <c r="E681" i="1"/>
  <c r="D681" i="1"/>
  <c r="C681" i="1"/>
  <c r="B681" i="1"/>
  <c r="A681" i="1"/>
  <c r="E682" i="1"/>
  <c r="D682" i="1"/>
  <c r="C682" i="1"/>
  <c r="B682" i="1"/>
  <c r="A682" i="1"/>
  <c r="E683" i="1"/>
  <c r="D683" i="1"/>
  <c r="C683" i="1"/>
  <c r="B683" i="1"/>
  <c r="A683" i="1"/>
  <c r="E684" i="1"/>
  <c r="D684" i="1"/>
  <c r="C684" i="1"/>
  <c r="B684" i="1"/>
  <c r="A684" i="1"/>
  <c r="E685" i="1"/>
  <c r="D685" i="1"/>
  <c r="C685" i="1"/>
  <c r="B685" i="1"/>
  <c r="A685" i="1"/>
  <c r="E686" i="1"/>
  <c r="D686" i="1"/>
  <c r="C686" i="1"/>
  <c r="B686" i="1"/>
  <c r="A686" i="1"/>
  <c r="E687" i="1"/>
  <c r="D687" i="1"/>
  <c r="C687" i="1"/>
  <c r="B687" i="1"/>
  <c r="A687" i="1"/>
  <c r="E688" i="1"/>
  <c r="D688" i="1"/>
  <c r="C688" i="1"/>
  <c r="B688" i="1"/>
  <c r="A688" i="1"/>
  <c r="E689" i="1"/>
  <c r="D689" i="1"/>
  <c r="C689" i="1"/>
  <c r="B689" i="1"/>
  <c r="A689" i="1"/>
  <c r="E690" i="1"/>
  <c r="D690" i="1"/>
  <c r="C690" i="1"/>
  <c r="B690" i="1"/>
  <c r="A690" i="1"/>
  <c r="E691" i="1"/>
  <c r="D691" i="1"/>
  <c r="C691" i="1"/>
  <c r="B691" i="1"/>
  <c r="A691" i="1"/>
  <c r="E692" i="1"/>
  <c r="D692" i="1"/>
  <c r="C692" i="1"/>
  <c r="B692" i="1"/>
  <c r="A692" i="1"/>
  <c r="E693" i="1"/>
  <c r="D693" i="1"/>
  <c r="C693" i="1"/>
  <c r="B693" i="1"/>
  <c r="A693" i="1"/>
  <c r="E694" i="1"/>
  <c r="D694" i="1"/>
  <c r="C694" i="1"/>
  <c r="B694" i="1"/>
  <c r="A694" i="1"/>
  <c r="E695" i="1"/>
  <c r="D695" i="1"/>
  <c r="C695" i="1"/>
  <c r="B695" i="1"/>
  <c r="A695" i="1"/>
  <c r="E696" i="1"/>
  <c r="D696" i="1"/>
  <c r="C696" i="1"/>
  <c r="B696" i="1"/>
  <c r="A696" i="1"/>
  <c r="E697" i="1"/>
  <c r="D697" i="1"/>
  <c r="C697" i="1"/>
  <c r="B697" i="1"/>
  <c r="A697" i="1"/>
  <c r="E698" i="1"/>
  <c r="D698" i="1"/>
  <c r="C698" i="1"/>
  <c r="B698" i="1"/>
  <c r="A698" i="1"/>
  <c r="E699" i="1"/>
  <c r="D699" i="1"/>
  <c r="C699" i="1"/>
  <c r="B699" i="1"/>
  <c r="A699" i="1"/>
  <c r="E700" i="1"/>
  <c r="D700" i="1"/>
  <c r="C700" i="1"/>
  <c r="B700" i="1"/>
  <c r="A700" i="1"/>
  <c r="E701" i="1"/>
  <c r="D701" i="1"/>
  <c r="C701" i="1"/>
  <c r="B701" i="1"/>
  <c r="A701" i="1"/>
  <c r="E702" i="1"/>
  <c r="D702" i="1"/>
  <c r="C702" i="1"/>
  <c r="B702" i="1"/>
  <c r="A702" i="1"/>
  <c r="E703" i="1"/>
  <c r="D703" i="1"/>
  <c r="C703" i="1"/>
  <c r="B703" i="1"/>
  <c r="A703" i="1"/>
  <c r="E704" i="1"/>
  <c r="D704" i="1"/>
  <c r="C704" i="1"/>
  <c r="B704" i="1"/>
  <c r="A704" i="1"/>
  <c r="E705" i="1"/>
  <c r="D705" i="1"/>
  <c r="C705" i="1"/>
  <c r="B705" i="1"/>
  <c r="A705" i="1"/>
  <c r="E706" i="1"/>
  <c r="D706" i="1"/>
  <c r="C706" i="1"/>
  <c r="B706" i="1"/>
  <c r="A706" i="1"/>
  <c r="E707" i="1"/>
  <c r="D707" i="1"/>
  <c r="C707" i="1"/>
  <c r="B707" i="1"/>
  <c r="A707" i="1"/>
  <c r="E708" i="1"/>
  <c r="D708" i="1"/>
  <c r="C708" i="1"/>
  <c r="B708" i="1"/>
  <c r="A708" i="1"/>
  <c r="E709" i="1"/>
  <c r="D709" i="1"/>
  <c r="C709" i="1"/>
  <c r="B709" i="1"/>
  <c r="A709" i="1"/>
  <c r="E710" i="1"/>
  <c r="D710" i="1"/>
  <c r="C710" i="1"/>
  <c r="B710" i="1"/>
  <c r="A710" i="1"/>
  <c r="E711" i="1"/>
  <c r="D711" i="1"/>
  <c r="C711" i="1"/>
  <c r="B711" i="1"/>
  <c r="A711" i="1"/>
  <c r="E712" i="1"/>
  <c r="D712" i="1"/>
  <c r="C712" i="1"/>
  <c r="B712" i="1"/>
  <c r="A712" i="1"/>
  <c r="E713" i="1"/>
  <c r="D713" i="1"/>
  <c r="C713" i="1"/>
  <c r="B713" i="1"/>
  <c r="A713" i="1"/>
  <c r="E714" i="1"/>
  <c r="D714" i="1"/>
  <c r="C714" i="1"/>
  <c r="B714" i="1"/>
  <c r="A714" i="1"/>
  <c r="E715" i="1"/>
  <c r="D715" i="1"/>
  <c r="C715" i="1"/>
  <c r="B715" i="1"/>
  <c r="A715" i="1"/>
  <c r="E716" i="1"/>
  <c r="D716" i="1"/>
  <c r="C716" i="1"/>
  <c r="B716" i="1"/>
  <c r="A716" i="1"/>
  <c r="E717" i="1"/>
  <c r="D717" i="1"/>
  <c r="C717" i="1"/>
  <c r="B717" i="1"/>
  <c r="A717" i="1"/>
  <c r="E718" i="1"/>
  <c r="D718" i="1"/>
  <c r="C718" i="1"/>
  <c r="B718" i="1"/>
  <c r="A718" i="1"/>
  <c r="E719" i="1"/>
  <c r="D719" i="1"/>
  <c r="C719" i="1"/>
  <c r="B719" i="1"/>
  <c r="A719" i="1"/>
  <c r="E720" i="1"/>
  <c r="D720" i="1"/>
  <c r="C720" i="1"/>
  <c r="B720" i="1"/>
  <c r="A720" i="1"/>
  <c r="E721" i="1"/>
  <c r="D721" i="1"/>
  <c r="C721" i="1"/>
  <c r="B721" i="1"/>
  <c r="A721" i="1"/>
  <c r="E722" i="1"/>
  <c r="D722" i="1"/>
  <c r="C722" i="1"/>
  <c r="B722" i="1"/>
  <c r="A722" i="1"/>
  <c r="E723" i="1"/>
  <c r="D723" i="1"/>
  <c r="C723" i="1"/>
  <c r="B723" i="1"/>
  <c r="A723" i="1"/>
  <c r="E724" i="1"/>
  <c r="D724" i="1"/>
  <c r="C724" i="1"/>
  <c r="B724" i="1"/>
  <c r="A724" i="1"/>
  <c r="E725" i="1"/>
  <c r="D725" i="1"/>
  <c r="C725" i="1"/>
  <c r="B725" i="1"/>
  <c r="A725" i="1"/>
  <c r="E726" i="1"/>
  <c r="D726" i="1"/>
  <c r="C726" i="1"/>
  <c r="B726" i="1"/>
  <c r="A726" i="1"/>
  <c r="E727" i="1"/>
  <c r="D727" i="1"/>
  <c r="C727" i="1"/>
  <c r="B727" i="1"/>
  <c r="A727" i="1"/>
  <c r="E728" i="1"/>
  <c r="D728" i="1"/>
  <c r="C728" i="1"/>
  <c r="B728" i="1"/>
  <c r="A728" i="1"/>
  <c r="E729" i="1"/>
  <c r="D729" i="1"/>
  <c r="C729" i="1"/>
  <c r="B729" i="1"/>
  <c r="A729" i="1"/>
  <c r="E730" i="1"/>
  <c r="D730" i="1"/>
  <c r="C730" i="1"/>
  <c r="B730" i="1"/>
  <c r="A730" i="1"/>
  <c r="E731" i="1"/>
  <c r="D731" i="1"/>
  <c r="C731" i="1"/>
  <c r="B731" i="1"/>
  <c r="A731" i="1"/>
  <c r="E732" i="1"/>
  <c r="D732" i="1"/>
  <c r="C732" i="1"/>
  <c r="B732" i="1"/>
  <c r="A732" i="1"/>
  <c r="E733" i="1"/>
  <c r="D733" i="1"/>
  <c r="C733" i="1"/>
  <c r="B733" i="1"/>
  <c r="A733" i="1"/>
  <c r="E734" i="1"/>
  <c r="D734" i="1"/>
  <c r="C734" i="1"/>
  <c r="B734" i="1"/>
  <c r="A734" i="1"/>
  <c r="E735" i="1"/>
  <c r="D735" i="1"/>
  <c r="C735" i="1"/>
  <c r="B735" i="1"/>
  <c r="A735" i="1"/>
  <c r="E736" i="1"/>
  <c r="D736" i="1"/>
  <c r="C736" i="1"/>
  <c r="B736" i="1"/>
  <c r="A736" i="1"/>
  <c r="E737" i="1"/>
  <c r="D737" i="1"/>
  <c r="C737" i="1"/>
  <c r="B737" i="1"/>
  <c r="A737" i="1"/>
  <c r="E738" i="1"/>
  <c r="D738" i="1"/>
  <c r="C738" i="1"/>
  <c r="B738" i="1"/>
  <c r="A738" i="1"/>
  <c r="E739" i="1"/>
  <c r="D739" i="1"/>
  <c r="C739" i="1"/>
  <c r="B739" i="1"/>
  <c r="A739" i="1"/>
  <c r="E740" i="1"/>
  <c r="D740" i="1"/>
  <c r="C740" i="1"/>
  <c r="B740" i="1"/>
  <c r="A740" i="1"/>
  <c r="E741" i="1"/>
  <c r="D741" i="1"/>
  <c r="C741" i="1"/>
  <c r="B741" i="1"/>
  <c r="A741" i="1"/>
  <c r="E742" i="1"/>
  <c r="D742" i="1"/>
  <c r="C742" i="1"/>
  <c r="B742" i="1"/>
  <c r="A742" i="1"/>
  <c r="E743" i="1"/>
  <c r="D743" i="1"/>
  <c r="C743" i="1"/>
  <c r="B743" i="1"/>
  <c r="A743" i="1"/>
  <c r="E744" i="1"/>
  <c r="D744" i="1"/>
  <c r="C744" i="1"/>
  <c r="B744" i="1"/>
  <c r="A744" i="1"/>
  <c r="E745" i="1"/>
  <c r="D745" i="1"/>
  <c r="C745" i="1"/>
  <c r="B745" i="1"/>
  <c r="A745" i="1"/>
  <c r="E746" i="1"/>
  <c r="D746" i="1"/>
  <c r="C746" i="1"/>
  <c r="B746" i="1"/>
  <c r="A746" i="1"/>
  <c r="E747" i="1"/>
  <c r="D747" i="1"/>
  <c r="C747" i="1"/>
  <c r="B747" i="1"/>
  <c r="A747" i="1"/>
  <c r="E748" i="1"/>
  <c r="D748" i="1"/>
  <c r="C748" i="1"/>
  <c r="B748" i="1"/>
  <c r="A748" i="1"/>
  <c r="E749" i="1"/>
  <c r="D749" i="1"/>
  <c r="C749" i="1"/>
  <c r="B749" i="1"/>
  <c r="A749" i="1"/>
  <c r="E750" i="1"/>
  <c r="D750" i="1"/>
  <c r="C750" i="1"/>
  <c r="B750" i="1"/>
  <c r="A750" i="1"/>
  <c r="E751" i="1"/>
  <c r="D751" i="1"/>
  <c r="C751" i="1"/>
  <c r="B751" i="1"/>
  <c r="A751" i="1"/>
  <c r="E752" i="1"/>
  <c r="D752" i="1"/>
  <c r="C752" i="1"/>
  <c r="B752" i="1"/>
  <c r="A752" i="1"/>
  <c r="E753" i="1"/>
  <c r="D753" i="1"/>
  <c r="C753" i="1"/>
  <c r="B753" i="1"/>
  <c r="A753" i="1"/>
  <c r="E754" i="1"/>
  <c r="D754" i="1"/>
  <c r="C754" i="1"/>
  <c r="B754" i="1"/>
  <c r="A754" i="1"/>
  <c r="E755" i="1"/>
  <c r="D755" i="1"/>
  <c r="C755" i="1"/>
  <c r="B755" i="1"/>
  <c r="A755" i="1"/>
  <c r="E756" i="1"/>
  <c r="D756" i="1"/>
  <c r="C756" i="1"/>
  <c r="B756" i="1"/>
  <c r="A756" i="1"/>
  <c r="E757" i="1"/>
  <c r="D757" i="1"/>
  <c r="C757" i="1"/>
  <c r="B757" i="1"/>
  <c r="A757" i="1"/>
  <c r="E758" i="1"/>
  <c r="D758" i="1"/>
  <c r="C758" i="1"/>
  <c r="B758" i="1"/>
  <c r="A758" i="1"/>
  <c r="E759" i="1"/>
  <c r="D759" i="1"/>
  <c r="C759" i="1"/>
  <c r="B759" i="1"/>
  <c r="A759" i="1"/>
  <c r="E760" i="1"/>
  <c r="D760" i="1"/>
  <c r="C760" i="1"/>
  <c r="B760" i="1"/>
  <c r="A760" i="1"/>
  <c r="E761" i="1"/>
  <c r="D761" i="1"/>
  <c r="C761" i="1"/>
  <c r="B761" i="1"/>
  <c r="A761" i="1"/>
  <c r="E762" i="1"/>
  <c r="D762" i="1"/>
  <c r="C762" i="1"/>
  <c r="B762" i="1"/>
  <c r="A762" i="1"/>
  <c r="E763" i="1"/>
  <c r="D763" i="1"/>
  <c r="C763" i="1"/>
  <c r="B763" i="1"/>
  <c r="A763" i="1"/>
  <c r="E764" i="1"/>
  <c r="D764" i="1"/>
  <c r="C764" i="1"/>
  <c r="B764" i="1"/>
  <c r="A764" i="1"/>
  <c r="E765" i="1"/>
  <c r="D765" i="1"/>
  <c r="C765" i="1"/>
  <c r="B765" i="1"/>
  <c r="A765" i="1"/>
  <c r="E766" i="1"/>
  <c r="D766" i="1"/>
  <c r="C766" i="1"/>
  <c r="B766" i="1"/>
  <c r="A766" i="1"/>
  <c r="E767" i="1"/>
  <c r="D767" i="1"/>
  <c r="C767" i="1"/>
  <c r="B767" i="1"/>
  <c r="A767" i="1"/>
  <c r="E768" i="1"/>
  <c r="D768" i="1"/>
  <c r="C768" i="1"/>
  <c r="B768" i="1"/>
  <c r="A768" i="1"/>
  <c r="E769" i="1"/>
  <c r="D769" i="1"/>
  <c r="C769" i="1"/>
  <c r="B769" i="1"/>
  <c r="A769" i="1"/>
  <c r="E770" i="1"/>
  <c r="D770" i="1"/>
  <c r="C770" i="1"/>
  <c r="B770" i="1"/>
  <c r="A770" i="1"/>
  <c r="E771" i="1"/>
  <c r="D771" i="1"/>
  <c r="C771" i="1"/>
  <c r="B771" i="1"/>
  <c r="A771" i="1"/>
  <c r="E772" i="1"/>
  <c r="D772" i="1"/>
  <c r="C772" i="1"/>
  <c r="B772" i="1"/>
  <c r="A772" i="1"/>
  <c r="E773" i="1"/>
  <c r="D773" i="1"/>
  <c r="C773" i="1"/>
  <c r="B773" i="1"/>
  <c r="A773" i="1"/>
  <c r="E774" i="1"/>
  <c r="D774" i="1"/>
  <c r="C774" i="1"/>
  <c r="B774" i="1"/>
  <c r="A774" i="1"/>
  <c r="E775" i="1"/>
  <c r="D775" i="1"/>
  <c r="C775" i="1"/>
  <c r="B775" i="1"/>
  <c r="A775" i="1"/>
  <c r="E776" i="1"/>
  <c r="D776" i="1"/>
  <c r="C776" i="1"/>
  <c r="B776" i="1"/>
  <c r="A776" i="1"/>
  <c r="E777" i="1"/>
  <c r="D777" i="1"/>
  <c r="C777" i="1"/>
  <c r="B777" i="1"/>
  <c r="A777" i="1"/>
  <c r="E778" i="1"/>
  <c r="D778" i="1"/>
  <c r="C778" i="1"/>
  <c r="B778" i="1"/>
  <c r="A778" i="1"/>
  <c r="E779" i="1"/>
  <c r="D779" i="1"/>
  <c r="C779" i="1"/>
  <c r="B779" i="1"/>
  <c r="A779" i="1"/>
  <c r="E780" i="1"/>
  <c r="D780" i="1"/>
  <c r="C780" i="1"/>
  <c r="B780" i="1"/>
  <c r="A780" i="1"/>
  <c r="E781" i="1"/>
  <c r="D781" i="1"/>
  <c r="C781" i="1"/>
  <c r="B781" i="1"/>
  <c r="A781" i="1"/>
  <c r="E782" i="1"/>
  <c r="D782" i="1"/>
  <c r="C782" i="1"/>
  <c r="B782" i="1"/>
  <c r="A782" i="1"/>
  <c r="E783" i="1"/>
  <c r="D783" i="1"/>
  <c r="C783" i="1"/>
  <c r="B783" i="1"/>
  <c r="A783" i="1"/>
  <c r="E784" i="1"/>
  <c r="D784" i="1"/>
  <c r="C784" i="1"/>
  <c r="B784" i="1"/>
  <c r="A784" i="1"/>
  <c r="E785" i="1"/>
  <c r="D785" i="1"/>
  <c r="C785" i="1"/>
  <c r="B785" i="1"/>
  <c r="A785" i="1"/>
  <c r="E786" i="1"/>
  <c r="D786" i="1"/>
  <c r="C786" i="1"/>
  <c r="B786" i="1"/>
  <c r="A786" i="1"/>
  <c r="E787" i="1"/>
  <c r="D787" i="1"/>
  <c r="C787" i="1"/>
  <c r="B787" i="1"/>
  <c r="A787" i="1"/>
  <c r="E788" i="1"/>
  <c r="D788" i="1"/>
  <c r="C788" i="1"/>
  <c r="B788" i="1"/>
  <c r="A788" i="1"/>
  <c r="E789" i="1"/>
  <c r="D789" i="1"/>
  <c r="C789" i="1"/>
  <c r="B789" i="1"/>
  <c r="A789" i="1"/>
  <c r="E790" i="1"/>
  <c r="D790" i="1"/>
  <c r="C790" i="1"/>
  <c r="B790" i="1"/>
  <c r="A790" i="1"/>
  <c r="E791" i="1"/>
  <c r="D791" i="1"/>
  <c r="C791" i="1"/>
  <c r="B791" i="1"/>
  <c r="A791" i="1"/>
  <c r="E792" i="1"/>
  <c r="D792" i="1"/>
  <c r="C792" i="1"/>
  <c r="B792" i="1"/>
  <c r="A792" i="1"/>
  <c r="E793" i="1"/>
  <c r="D793" i="1"/>
  <c r="C793" i="1"/>
  <c r="B793" i="1"/>
  <c r="A793" i="1"/>
  <c r="E794" i="1"/>
  <c r="D794" i="1"/>
  <c r="C794" i="1"/>
  <c r="B794" i="1"/>
  <c r="A794" i="1"/>
  <c r="E795" i="1"/>
  <c r="D795" i="1"/>
  <c r="C795" i="1"/>
  <c r="B795" i="1"/>
  <c r="A795" i="1"/>
  <c r="E796" i="1"/>
  <c r="D796" i="1"/>
  <c r="C796" i="1"/>
  <c r="B796" i="1"/>
  <c r="A796" i="1"/>
  <c r="E797" i="1"/>
  <c r="D797" i="1"/>
  <c r="C797" i="1"/>
  <c r="B797" i="1"/>
  <c r="A797" i="1"/>
  <c r="E798" i="1"/>
  <c r="D798" i="1"/>
  <c r="C798" i="1"/>
  <c r="B798" i="1"/>
  <c r="A798" i="1"/>
  <c r="E799" i="1"/>
  <c r="D799" i="1"/>
  <c r="C799" i="1"/>
  <c r="B799" i="1"/>
  <c r="A799" i="1"/>
  <c r="E800" i="1"/>
  <c r="D800" i="1"/>
  <c r="C800" i="1"/>
  <c r="B800" i="1"/>
  <c r="A800" i="1"/>
  <c r="E801" i="1"/>
  <c r="D801" i="1"/>
  <c r="C801" i="1"/>
  <c r="B801" i="1"/>
  <c r="A801" i="1"/>
  <c r="E802" i="1"/>
  <c r="D802" i="1"/>
  <c r="C802" i="1"/>
  <c r="B802" i="1"/>
  <c r="A802" i="1"/>
  <c r="E803" i="1"/>
  <c r="D803" i="1"/>
  <c r="C803" i="1"/>
  <c r="B803" i="1"/>
  <c r="A803" i="1"/>
  <c r="E804" i="1"/>
  <c r="D804" i="1"/>
  <c r="C804" i="1"/>
  <c r="B804" i="1"/>
  <c r="A804" i="1"/>
  <c r="E805" i="1"/>
  <c r="D805" i="1"/>
  <c r="C805" i="1"/>
  <c r="B805" i="1"/>
  <c r="A805" i="1"/>
  <c r="E806" i="1"/>
  <c r="D806" i="1"/>
  <c r="C806" i="1"/>
  <c r="B806" i="1"/>
  <c r="A806" i="1"/>
  <c r="E807" i="1"/>
  <c r="D807" i="1"/>
  <c r="C807" i="1"/>
  <c r="B807" i="1"/>
  <c r="A807" i="1"/>
  <c r="E808" i="1"/>
  <c r="D808" i="1"/>
  <c r="C808" i="1"/>
  <c r="B808" i="1"/>
  <c r="A808" i="1"/>
  <c r="E809" i="1"/>
  <c r="D809" i="1"/>
  <c r="C809" i="1"/>
  <c r="B809" i="1"/>
  <c r="A809" i="1"/>
  <c r="E810" i="1"/>
  <c r="D810" i="1"/>
  <c r="C810" i="1"/>
  <c r="B810" i="1"/>
  <c r="A810" i="1"/>
  <c r="E811" i="1"/>
  <c r="D811" i="1"/>
  <c r="C811" i="1"/>
  <c r="B811" i="1"/>
  <c r="A811" i="1"/>
  <c r="E812" i="1"/>
  <c r="D812" i="1"/>
  <c r="C812" i="1"/>
  <c r="B812" i="1"/>
  <c r="A812" i="1"/>
  <c r="E813" i="1"/>
  <c r="D813" i="1"/>
  <c r="C813" i="1"/>
  <c r="B813" i="1"/>
  <c r="A813" i="1"/>
  <c r="E814" i="1"/>
  <c r="D814" i="1"/>
  <c r="C814" i="1"/>
  <c r="B814" i="1"/>
  <c r="A814" i="1"/>
  <c r="E815" i="1"/>
  <c r="D815" i="1"/>
  <c r="C815" i="1"/>
  <c r="B815" i="1"/>
  <c r="A815" i="1"/>
  <c r="E816" i="1"/>
  <c r="C816" i="1"/>
  <c r="B816" i="1"/>
  <c r="A816" i="1"/>
  <c r="E817" i="1"/>
  <c r="C817" i="1"/>
  <c r="B817" i="1"/>
  <c r="A817" i="1"/>
  <c r="E818" i="1"/>
  <c r="C818" i="1"/>
  <c r="B818" i="1"/>
  <c r="A818" i="1"/>
  <c r="E819" i="1"/>
  <c r="C819" i="1"/>
  <c r="B819" i="1"/>
  <c r="A819" i="1"/>
  <c r="E820" i="1"/>
  <c r="C820" i="1"/>
  <c r="B820" i="1"/>
  <c r="A820" i="1"/>
  <c r="E821" i="1"/>
  <c r="C821" i="1"/>
  <c r="B821" i="1"/>
  <c r="A821" i="1"/>
  <c r="E822" i="1"/>
  <c r="C822" i="1"/>
  <c r="B822" i="1"/>
  <c r="A822" i="1"/>
  <c r="E823" i="1"/>
  <c r="C823" i="1"/>
  <c r="B823" i="1"/>
  <c r="A823" i="1"/>
  <c r="E824" i="1"/>
  <c r="D824" i="1"/>
  <c r="C824" i="1"/>
  <c r="B824" i="1"/>
  <c r="A824" i="1"/>
  <c r="E825" i="1"/>
  <c r="D825" i="1"/>
  <c r="C825" i="1"/>
  <c r="B825" i="1"/>
  <c r="A825" i="1"/>
  <c r="E826" i="1"/>
  <c r="D826" i="1"/>
  <c r="C826" i="1"/>
  <c r="B826" i="1"/>
  <c r="A826" i="1"/>
  <c r="E827" i="1"/>
  <c r="D827" i="1"/>
  <c r="C827" i="1"/>
  <c r="B827" i="1"/>
  <c r="A827" i="1"/>
  <c r="E828" i="1"/>
  <c r="D828" i="1"/>
  <c r="C828" i="1"/>
  <c r="B828" i="1"/>
  <c r="A828" i="1"/>
  <c r="E829" i="1"/>
  <c r="D829" i="1"/>
  <c r="C829" i="1"/>
  <c r="B829" i="1"/>
  <c r="A829" i="1"/>
  <c r="E830" i="1"/>
  <c r="D830" i="1"/>
  <c r="C830" i="1"/>
  <c r="B830" i="1"/>
  <c r="A830" i="1"/>
  <c r="E831" i="1"/>
  <c r="D831" i="1"/>
  <c r="C831" i="1"/>
  <c r="B831" i="1"/>
  <c r="A831" i="1"/>
  <c r="E832" i="1"/>
  <c r="C832" i="1"/>
  <c r="B832" i="1"/>
  <c r="A832" i="1"/>
  <c r="E833" i="1"/>
  <c r="C833" i="1"/>
  <c r="B833" i="1"/>
  <c r="A833" i="1"/>
  <c r="E834" i="1"/>
  <c r="C834" i="1"/>
  <c r="B834" i="1"/>
  <c r="A834" i="1"/>
  <c r="E835" i="1"/>
  <c r="C835" i="1"/>
  <c r="B835" i="1"/>
  <c r="A835" i="1"/>
  <c r="E836" i="1"/>
  <c r="C836" i="1"/>
  <c r="B836" i="1"/>
  <c r="A836" i="1"/>
  <c r="E837" i="1"/>
  <c r="C837" i="1"/>
  <c r="B837" i="1"/>
  <c r="A837" i="1"/>
  <c r="E838" i="1"/>
  <c r="C838" i="1"/>
  <c r="B838" i="1"/>
  <c r="A838" i="1"/>
  <c r="E839" i="1"/>
  <c r="C839" i="1"/>
  <c r="B839" i="1"/>
  <c r="A839" i="1"/>
  <c r="E840" i="1"/>
  <c r="D840" i="1"/>
  <c r="C840" i="1"/>
  <c r="B840" i="1"/>
  <c r="A840" i="1"/>
  <c r="E841" i="1"/>
  <c r="D841" i="1"/>
  <c r="C841" i="1"/>
  <c r="B841" i="1"/>
  <c r="A841" i="1"/>
  <c r="E842" i="1"/>
  <c r="D842" i="1"/>
  <c r="C842" i="1"/>
  <c r="B842" i="1"/>
  <c r="A842" i="1"/>
  <c r="E843" i="1"/>
  <c r="D843" i="1"/>
  <c r="C843" i="1"/>
  <c r="B843" i="1"/>
  <c r="A843" i="1"/>
  <c r="E844" i="1"/>
  <c r="D844" i="1"/>
  <c r="C844" i="1"/>
  <c r="B844" i="1"/>
  <c r="A844" i="1"/>
  <c r="E845" i="1"/>
  <c r="D845" i="1"/>
  <c r="C845" i="1"/>
  <c r="B845" i="1"/>
  <c r="A845" i="1"/>
  <c r="E846" i="1"/>
  <c r="D846" i="1"/>
  <c r="C846" i="1"/>
  <c r="B846" i="1"/>
  <c r="A846" i="1"/>
  <c r="E847" i="1"/>
  <c r="D847" i="1"/>
  <c r="C847" i="1"/>
  <c r="B847" i="1"/>
  <c r="A847" i="1"/>
  <c r="E848" i="1"/>
  <c r="D848" i="1"/>
  <c r="C848" i="1"/>
  <c r="B848" i="1"/>
  <c r="A848" i="1"/>
  <c r="E849" i="1"/>
  <c r="D849" i="1"/>
  <c r="C849" i="1"/>
  <c r="B849" i="1"/>
  <c r="A849" i="1"/>
  <c r="E850" i="1"/>
  <c r="D850" i="1"/>
  <c r="C850" i="1"/>
  <c r="B850" i="1"/>
  <c r="A850" i="1"/>
  <c r="E851" i="1"/>
  <c r="D851" i="1"/>
  <c r="C851" i="1"/>
  <c r="B851" i="1"/>
  <c r="A851" i="1"/>
  <c r="E852" i="1"/>
  <c r="D852" i="1"/>
  <c r="C852" i="1"/>
  <c r="B852" i="1"/>
  <c r="A852" i="1"/>
  <c r="E853" i="1"/>
  <c r="D853" i="1"/>
  <c r="C853" i="1"/>
  <c r="B853" i="1"/>
  <c r="A853" i="1"/>
  <c r="E854" i="1"/>
  <c r="D854" i="1"/>
  <c r="C854" i="1"/>
  <c r="B854" i="1"/>
  <c r="A854" i="1"/>
  <c r="E855" i="1"/>
  <c r="D855" i="1"/>
  <c r="C855" i="1"/>
  <c r="B855" i="1"/>
  <c r="A855" i="1"/>
  <c r="E856" i="1"/>
  <c r="C856" i="1"/>
  <c r="B856" i="1"/>
  <c r="A856" i="1"/>
  <c r="E857" i="1"/>
  <c r="C857" i="1"/>
  <c r="B857" i="1"/>
  <c r="A857" i="1"/>
  <c r="E858" i="1"/>
  <c r="C858" i="1"/>
  <c r="B858" i="1"/>
  <c r="A858" i="1"/>
  <c r="E859" i="1"/>
  <c r="C859" i="1"/>
  <c r="B859" i="1"/>
  <c r="A859" i="1"/>
  <c r="E860" i="1"/>
  <c r="C860" i="1"/>
  <c r="B860" i="1"/>
  <c r="A860" i="1"/>
  <c r="E861" i="1"/>
  <c r="C861" i="1"/>
  <c r="B861" i="1"/>
  <c r="A861" i="1"/>
  <c r="E862" i="1"/>
  <c r="C862" i="1"/>
  <c r="B862" i="1"/>
  <c r="A862" i="1"/>
  <c r="E863" i="1"/>
  <c r="C863" i="1"/>
  <c r="B863" i="1"/>
  <c r="A863" i="1"/>
  <c r="E864" i="1"/>
  <c r="D864" i="1"/>
  <c r="C864" i="1"/>
  <c r="B864" i="1"/>
  <c r="A864" i="1"/>
  <c r="E865" i="1"/>
  <c r="D865" i="1"/>
  <c r="C865" i="1"/>
  <c r="B865" i="1"/>
  <c r="A865" i="1"/>
  <c r="E866" i="1"/>
  <c r="D866" i="1"/>
  <c r="C866" i="1"/>
  <c r="B866" i="1"/>
  <c r="A866" i="1"/>
  <c r="E867" i="1"/>
  <c r="D867" i="1"/>
  <c r="C867" i="1"/>
  <c r="B867" i="1"/>
  <c r="A867" i="1"/>
  <c r="E868" i="1"/>
  <c r="D868" i="1"/>
  <c r="C868" i="1"/>
  <c r="B868" i="1"/>
  <c r="A868" i="1"/>
  <c r="E869" i="1"/>
  <c r="D869" i="1"/>
  <c r="C869" i="1"/>
  <c r="B869" i="1"/>
  <c r="A869" i="1"/>
  <c r="E870" i="1"/>
  <c r="D870" i="1"/>
  <c r="C870" i="1"/>
  <c r="B870" i="1"/>
  <c r="A870" i="1"/>
  <c r="E871" i="1"/>
  <c r="D871" i="1"/>
  <c r="C871" i="1"/>
  <c r="B871" i="1"/>
  <c r="A871" i="1"/>
  <c r="C3" i="1"/>
  <c r="B3" i="1"/>
</calcChain>
</file>

<file path=xl/sharedStrings.xml><?xml version="1.0" encoding="utf-8"?>
<sst xmlns="http://schemas.openxmlformats.org/spreadsheetml/2006/main" count="88" uniqueCount="64">
  <si>
    <t>SPEEDY</t>
  </si>
  <si>
    <t>U3260</t>
  </si>
  <si>
    <t>U3267</t>
  </si>
  <si>
    <t>J2758</t>
  </si>
  <si>
    <t>U3263</t>
  </si>
  <si>
    <t>U3271</t>
  </si>
  <si>
    <t>U3269</t>
  </si>
  <si>
    <t>U0422</t>
  </si>
  <si>
    <t>U3268</t>
  </si>
  <si>
    <t>U3251</t>
  </si>
  <si>
    <t>U3266</t>
  </si>
  <si>
    <t>U3261</t>
  </si>
  <si>
    <t>U3254</t>
  </si>
  <si>
    <t>U3265</t>
  </si>
  <si>
    <t>U3262</t>
  </si>
  <si>
    <t>U3253</t>
  </si>
  <si>
    <t>U3270</t>
  </si>
  <si>
    <t>U3259</t>
  </si>
  <si>
    <t>U3250</t>
  </si>
  <si>
    <t>U3252</t>
  </si>
  <si>
    <t>U3264</t>
  </si>
  <si>
    <t>U3244</t>
  </si>
  <si>
    <t>U3245</t>
  </si>
  <si>
    <t>U3246</t>
  </si>
  <si>
    <t>U3247</t>
  </si>
  <si>
    <t>U3256</t>
  </si>
  <si>
    <t>U3248</t>
  </si>
  <si>
    <t>U3257</t>
  </si>
  <si>
    <t>U3240</t>
  </si>
  <si>
    <t>U3249</t>
  </si>
  <si>
    <t>U3258</t>
  </si>
  <si>
    <t>U3241</t>
  </si>
  <si>
    <t>U3238</t>
  </si>
  <si>
    <t>U3239</t>
  </si>
  <si>
    <t>U3242</t>
  </si>
  <si>
    <t>U3243</t>
  </si>
  <si>
    <t>U3051</t>
  </si>
  <si>
    <t>U3052</t>
  </si>
  <si>
    <t>U3274</t>
  </si>
  <si>
    <t>U3275</t>
  </si>
  <si>
    <t>U3276</t>
  </si>
  <si>
    <t>U3277</t>
  </si>
  <si>
    <t>U3278</t>
  </si>
  <si>
    <t>U3279</t>
  </si>
  <si>
    <t>U3049</t>
  </si>
  <si>
    <t>U3050</t>
  </si>
  <si>
    <t>U3053</t>
  </si>
  <si>
    <t>U3054</t>
  </si>
  <si>
    <t>U3055</t>
  </si>
  <si>
    <t>U3056</t>
  </si>
  <si>
    <t>U3272</t>
  </si>
  <si>
    <t>U3273</t>
  </si>
  <si>
    <t>U3287</t>
  </si>
  <si>
    <t>U3286</t>
  </si>
  <si>
    <t>U3285</t>
  </si>
  <si>
    <t>U3284</t>
  </si>
  <si>
    <t>U3283</t>
  </si>
  <si>
    <t>U3282</t>
  </si>
  <si>
    <t>U3281</t>
  </si>
  <si>
    <t>U3280</t>
  </si>
  <si>
    <t>Prime #</t>
  </si>
  <si>
    <t>Location</t>
  </si>
  <si>
    <t>Dayspring 28-ft Grid REFRESH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</si>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</sst>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Normal_ED28" xfId="1" xr:uid="{D609F25E-B219-4187-81FD-1C60662AC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9ED8-DB2D-4A0C-BD38-EB5023889FD7}">
  <dimension ref="A1:E8230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1" max="1" width="10.42578125" style="3" bestFit="1" customWidth="1"/>
    <col min="2" max="2" width="13.140625" style="4" bestFit="1" customWidth="1"/>
    <col min="3" max="3" width="71.85546875" customWidth="1"/>
    <col min="4" max="4" width="10.140625" style="3" bestFit="1" customWidth="1"/>
    <col min="5" max="5" width="11.140625" style="3" customWidth="1"/>
  </cols>
  <sheetData>
    <row r="1" spans="1:5" ht="21" x14ac:dyDescent="0.35">
      <c r="C1" s="6" t="s">
        <v>62</v>
      </c>
      <c r="E1" s="7" t="s">
        <v>63</v>
      </c>
    </row>
    <row r="3" spans="1:5" s="3" customFormat="1" x14ac:dyDescent="0.25">
      <c r="A3" s="1" t="s">
        <v>0</v>
      </c>
      <c r="B3" s="2" t="str">
        <f>"UPC"</f>
        <v>UPC</v>
      </c>
      <c r="C3" s="1" t="str">
        <f>"TITLE"</f>
        <v>TITLE</v>
      </c>
      <c r="D3" s="1" t="s">
        <v>60</v>
      </c>
      <c r="E3" s="1" t="s">
        <v>61</v>
      </c>
    </row>
    <row r="4" spans="1:5" x14ac:dyDescent="0.25">
      <c r="A4" s="3" t="str">
        <f>"308272"</f>
        <v>308272</v>
      </c>
      <c r="B4" s="4" t="str">
        <f>"81983682483"</f>
        <v>81983682483</v>
      </c>
      <c r="C4" t="str">
        <f>"EVERYDAY COUNTER-RELATIVE BDAY-MOTHER PKG/6-J0022"</f>
        <v>EVERYDAY COUNTER-RELATIVE BDAY-MOTHER PKG/6-J0022</v>
      </c>
      <c r="D4" s="3" t="str">
        <f>"J0022"</f>
        <v>J0022</v>
      </c>
      <c r="E4" s="3" t="str">
        <f>"ED28A001"</f>
        <v>ED28A001</v>
      </c>
    </row>
    <row r="5" spans="1:5" x14ac:dyDescent="0.25">
      <c r="A5" s="3" t="str">
        <f>"308420"</f>
        <v>308420</v>
      </c>
      <c r="B5" s="4" t="str">
        <f>"81983773860"</f>
        <v>81983773860</v>
      </c>
      <c r="C5" t="str">
        <f>"EVERYDAY COUNTER-RELATIVE BD MOTHER PKG/6-J2758"</f>
        <v>EVERYDAY COUNTER-RELATIVE BD MOTHER PKG/6-J2758</v>
      </c>
      <c r="D5" s="3">
        <v>10270</v>
      </c>
      <c r="E5" s="3" t="str">
        <f>"ED28A002"</f>
        <v>ED28A002</v>
      </c>
    </row>
    <row r="6" spans="1:5" x14ac:dyDescent="0.25">
      <c r="A6" s="3" t="str">
        <f>"349456"</f>
        <v>349456</v>
      </c>
      <c r="B6" s="4" t="str">
        <f>"81983778018"</f>
        <v>81983778018</v>
      </c>
      <c r="C6" t="str">
        <f>"EVERYDAY COUNTER-RELATIVE BIRTHDAY PKG/6-U0422"</f>
        <v>EVERYDAY COUNTER-RELATIVE BIRTHDAY PKG/6-U0422</v>
      </c>
      <c r="D6" s="3" t="s">
        <v>1</v>
      </c>
      <c r="E6" s="3" t="str">
        <f>"ED28A003"</f>
        <v>ED28A003</v>
      </c>
    </row>
    <row r="7" spans="1:5" x14ac:dyDescent="0.25">
      <c r="A7" s="3" t="str">
        <f>"349544"</f>
        <v>349544</v>
      </c>
      <c r="B7" s="4" t="str">
        <f>"81983778377"</f>
        <v>81983778377</v>
      </c>
      <c r="C7" t="str">
        <f>"EVERYDAY COUNTER-BIRTHDAY FOR HER PKG/2"</f>
        <v>EVERYDAY COUNTER-BIRTHDAY FOR HER PKG/2</v>
      </c>
      <c r="D7" s="3" t="s">
        <v>36</v>
      </c>
      <c r="E7" s="3" t="str">
        <f>"ED28A004"</f>
        <v>ED28A004</v>
      </c>
    </row>
    <row r="8" spans="1:5" x14ac:dyDescent="0.25">
      <c r="A8" s="3" t="str">
        <f>"349546"</f>
        <v>349546</v>
      </c>
      <c r="B8" s="4" t="str">
        <f>"81983778384"</f>
        <v>81983778384</v>
      </c>
      <c r="C8" t="str">
        <f>"EVERYDAY COUNTER-BIRTHDAY FOR HER PKG/2-U0469"</f>
        <v>EVERYDAY COUNTER-BIRTHDAY FOR HER PKG/2-U0469</v>
      </c>
      <c r="D8" s="3" t="s">
        <v>37</v>
      </c>
      <c r="E8" s="3" t="str">
        <f>"ED28A005"</f>
        <v>ED28A005</v>
      </c>
    </row>
    <row r="9" spans="1:5" x14ac:dyDescent="0.25">
      <c r="A9" s="3" t="str">
        <f>"308305"</f>
        <v>308305</v>
      </c>
      <c r="B9" s="4" t="str">
        <f>"81983685491"</f>
        <v>81983685491</v>
      </c>
      <c r="C9" t="str">
        <f>"EVERYDAY COUNTER-BIRTHDAY GRANDMA PKG/6-J0335"</f>
        <v>EVERYDAY COUNTER-BIRTHDAY GRANDMA PKG/6-J0335</v>
      </c>
      <c r="D9" s="3" t="str">
        <f>"J0335"</f>
        <v>J0335</v>
      </c>
      <c r="E9" s="3" t="str">
        <f>"ED28A006"</f>
        <v>ED28A006</v>
      </c>
    </row>
    <row r="10" spans="1:5" x14ac:dyDescent="0.25">
      <c r="A10" s="3" t="str">
        <f>"279767"</f>
        <v>279767</v>
      </c>
      <c r="B10" s="4" t="str">
        <f>"81983774195"</f>
        <v>81983774195</v>
      </c>
      <c r="C10" t="str">
        <f>"EVERYDAY COUNTER-RELATIVE BD WIFE PKG/6-J9051"</f>
        <v>EVERYDAY COUNTER-RELATIVE BD WIFE PKG/6-J9051</v>
      </c>
      <c r="D10" s="3" t="str">
        <f>"J9051"</f>
        <v>J9051</v>
      </c>
      <c r="E10" s="3" t="str">
        <f>"ED28A007"</f>
        <v>ED28A007</v>
      </c>
    </row>
    <row r="11" spans="1:5" x14ac:dyDescent="0.25">
      <c r="A11" s="3" t="str">
        <f>"349520"</f>
        <v>349520</v>
      </c>
      <c r="B11" s="4" t="str">
        <f>"81983778315"</f>
        <v>81983778315</v>
      </c>
      <c r="C11" t="str">
        <f>"EVERYDAY COUNTER-RELATIVE BIRTHDAY PKG/6-U0452"</f>
        <v>EVERYDAY COUNTER-RELATIVE BIRTHDAY PKG/6-U0452</v>
      </c>
      <c r="D11" s="3" t="str">
        <f>"U0452"</f>
        <v>U0452</v>
      </c>
      <c r="E11" s="3" t="str">
        <f>"ED28A008"</f>
        <v>ED28A008</v>
      </c>
    </row>
    <row r="12" spans="1:5" x14ac:dyDescent="0.25">
      <c r="A12" s="3" t="str">
        <f>"349488"</f>
        <v>349488</v>
      </c>
      <c r="B12" s="4" t="str">
        <f>"81983778148"</f>
        <v>81983778148</v>
      </c>
      <c r="C12" t="str">
        <f>"EVERYDAY COUNTER-RELATIVE BIRTHDAY PKG/6-U0435"</f>
        <v>EVERYDAY COUNTER-RELATIVE BIRTHDAY PKG/6-U0435</v>
      </c>
      <c r="D12" s="3" t="s">
        <v>2</v>
      </c>
      <c r="E12" s="3" t="str">
        <f>"ED28A009"</f>
        <v>ED28A009</v>
      </c>
    </row>
    <row r="13" spans="1:5" x14ac:dyDescent="0.25">
      <c r="A13" s="3" t="str">
        <f>"279749"</f>
        <v>279749</v>
      </c>
      <c r="B13" s="4" t="str">
        <f>"81983773907"</f>
        <v>81983773907</v>
      </c>
      <c r="C13" t="str">
        <f>"EVERYDAY COUNTER-RELATIVE BD MOTHER PKG/6-J9037"</f>
        <v>EVERYDAY COUNTER-RELATIVE BD MOTHER PKG/6-J9037</v>
      </c>
      <c r="D13" s="3" t="str">
        <f>"J9037"</f>
        <v>J9037</v>
      </c>
      <c r="E13" s="3" t="str">
        <f>"ED28A010"</f>
        <v>ED28A010</v>
      </c>
    </row>
    <row r="14" spans="1:5" x14ac:dyDescent="0.25">
      <c r="A14" s="3" t="str">
        <f>"298664"</f>
        <v>298664</v>
      </c>
      <c r="B14" s="4" t="str">
        <f>"81983773570"</f>
        <v>81983773570</v>
      </c>
      <c r="C14" t="str">
        <f>"EVERYDAY COUNTER-BDAY DAUGHTER PKG/6-10228"</f>
        <v>EVERYDAY COUNTER-BDAY DAUGHTER PKG/6-10228</v>
      </c>
      <c r="D14" s="3" t="str">
        <f>"10228"</f>
        <v>10228</v>
      </c>
      <c r="E14" s="3" t="str">
        <f>"ED28A011"</f>
        <v>ED28A011</v>
      </c>
    </row>
    <row r="15" spans="1:5" x14ac:dyDescent="0.25">
      <c r="A15" s="3" t="str">
        <f>"349529"</f>
        <v>349529</v>
      </c>
      <c r="B15" s="4" t="str">
        <f>"81983778476"</f>
        <v>81983778476</v>
      </c>
      <c r="C15" t="str">
        <f>"EVERYDAY COUNTER-BIRTHDAY PKG/6-U0478"</f>
        <v>EVERYDAY COUNTER-BIRTHDAY PKG/6-U0478</v>
      </c>
      <c r="D15" s="3" t="s">
        <v>38</v>
      </c>
      <c r="E15" s="3" t="str">
        <f>"ED28A012"</f>
        <v>ED28A012</v>
      </c>
    </row>
    <row r="16" spans="1:5" x14ac:dyDescent="0.25">
      <c r="A16" s="3" t="str">
        <f>"349530"</f>
        <v>349530</v>
      </c>
      <c r="B16" s="4" t="str">
        <f>"81983778483"</f>
        <v>81983778483</v>
      </c>
      <c r="C16" t="str">
        <f>"EVERYDAY COUNTER-BIRTHDAY PKG/6-U0479"</f>
        <v>EVERYDAY COUNTER-BIRTHDAY PKG/6-U0479</v>
      </c>
      <c r="D16" s="3" t="s">
        <v>39</v>
      </c>
      <c r="E16" s="3" t="str">
        <f>"ED28A013"</f>
        <v>ED28A013</v>
      </c>
    </row>
    <row r="17" spans="1:5" x14ac:dyDescent="0.25">
      <c r="A17" s="3" t="str">
        <f>"279500"</f>
        <v>279500</v>
      </c>
      <c r="B17" s="4" t="str">
        <f>"81983738616"</f>
        <v>81983738616</v>
      </c>
      <c r="C17" t="str">
        <f>"EVERYDAY COUNTER-REL BIRTHDAY GRANDMOTHER PKG/6-J5528"</f>
        <v>EVERYDAY COUNTER-REL BIRTHDAY GRANDMOTHER PKG/6-J5528</v>
      </c>
      <c r="D17" s="3" t="str">
        <f>"J5528"</f>
        <v>J5528</v>
      </c>
      <c r="E17" s="3" t="str">
        <f>"ED28A014"</f>
        <v>ED28A014</v>
      </c>
    </row>
    <row r="18" spans="1:5" x14ac:dyDescent="0.25">
      <c r="A18" s="3" t="str">
        <f>"279533"</f>
        <v>279533</v>
      </c>
      <c r="B18" s="4" t="str">
        <f>"81983738890"</f>
        <v>81983738890</v>
      </c>
      <c r="C18" t="str">
        <f>"EVERYDAY COUNTER-REL BD WIFE PKG/6-J5556"</f>
        <v>EVERYDAY COUNTER-REL BD WIFE PKG/6-J5556</v>
      </c>
      <c r="D18" s="3" t="str">
        <f>"J5556"</f>
        <v>J5556</v>
      </c>
      <c r="E18" s="3" t="str">
        <f>"ED28A015"</f>
        <v>ED28A015</v>
      </c>
    </row>
    <row r="19" spans="1:5" x14ac:dyDescent="0.25">
      <c r="A19" s="3" t="str">
        <f>"308329"</f>
        <v>308329</v>
      </c>
      <c r="B19" s="4" t="str">
        <f>"81983685736"</f>
        <v>81983685736</v>
      </c>
      <c r="C19" t="str">
        <f>"EVERYDAY COUNTER-BIRTHDAY WIFE PKG/6-J0359"</f>
        <v>EVERYDAY COUNTER-BIRTHDAY WIFE PKG/6-J0359</v>
      </c>
      <c r="D19" s="3" t="str">
        <f>"J0359"</f>
        <v>J0359</v>
      </c>
      <c r="E19" s="3" t="str">
        <f>"ED28A016"</f>
        <v>ED28A016</v>
      </c>
    </row>
    <row r="20" spans="1:5" x14ac:dyDescent="0.25">
      <c r="A20" s="3" t="str">
        <f>"279744"</f>
        <v>279744</v>
      </c>
      <c r="B20" s="4" t="str">
        <f>"81983764226"</f>
        <v>81983764226</v>
      </c>
      <c r="C20" t="str">
        <f>"EVERYDAY COUNTER-RELATIVE BD MOM PKG/6-J9033"</f>
        <v>EVERYDAY COUNTER-RELATIVE BD MOM PKG/6-J9033</v>
      </c>
      <c r="D20" s="3" t="str">
        <f>"J9033"</f>
        <v>J9033</v>
      </c>
      <c r="E20" s="3" t="str">
        <f>"ED28A017"</f>
        <v>ED28A017</v>
      </c>
    </row>
    <row r="21" spans="1:5" x14ac:dyDescent="0.25">
      <c r="A21" s="3" t="str">
        <f>"298693"</f>
        <v>298693</v>
      </c>
      <c r="B21" s="4" t="str">
        <f>"81983652233"</f>
        <v>81983652233</v>
      </c>
      <c r="C21" t="str">
        <f>"EVERYDAY COUNTER-BIRTHDAY MOTHER PKG/6-10270"</f>
        <v>EVERYDAY COUNTER-BIRTHDAY MOTHER PKG/6-10270</v>
      </c>
      <c r="D21" s="3" t="s">
        <v>3</v>
      </c>
      <c r="E21" s="3" t="str">
        <f>"ED28A018"</f>
        <v>ED28A018</v>
      </c>
    </row>
    <row r="22" spans="1:5" x14ac:dyDescent="0.25">
      <c r="A22" s="3" t="str">
        <f>"279486"</f>
        <v>279486</v>
      </c>
      <c r="B22" s="4" t="str">
        <f>"81983773549"</f>
        <v>81983773549</v>
      </c>
      <c r="C22" t="str">
        <f>"EVERYDAY COUNTER-REL BD DAUGHTER ADULT PKG/6-J5518"</f>
        <v>EVERYDAY COUNTER-REL BD DAUGHTER ADULT PKG/6-J5518</v>
      </c>
      <c r="D22" s="3" t="str">
        <f>"J5518"</f>
        <v>J5518</v>
      </c>
      <c r="E22" s="3" t="str">
        <f>"ED28A019"</f>
        <v>ED28A019</v>
      </c>
    </row>
    <row r="23" spans="1:5" x14ac:dyDescent="0.25">
      <c r="A23" s="3" t="str">
        <f>"349531"</f>
        <v>349531</v>
      </c>
      <c r="B23" s="4" t="str">
        <f>"81983778490"</f>
        <v>81983778490</v>
      </c>
      <c r="C23" t="str">
        <f>"EVERYDAY COUNTER-BIRTHDAY PKG/6-U0480"</f>
        <v>EVERYDAY COUNTER-BIRTHDAY PKG/6-U0480</v>
      </c>
      <c r="D23" s="3" t="s">
        <v>40</v>
      </c>
      <c r="E23" s="3" t="str">
        <f>"ED28A020"</f>
        <v>ED28A020</v>
      </c>
    </row>
    <row r="24" spans="1:5" x14ac:dyDescent="0.25">
      <c r="A24" s="3" t="str">
        <f>"349532"</f>
        <v>349532</v>
      </c>
      <c r="B24" s="4" t="str">
        <f>"81983778506"</f>
        <v>81983778506</v>
      </c>
      <c r="C24" t="str">
        <f>"EVERYDAY COUNTER-BIRTHDAY PKG/6-U0481"</f>
        <v>EVERYDAY COUNTER-BIRTHDAY PKG/6-U0481</v>
      </c>
      <c r="D24" s="3" t="s">
        <v>41</v>
      </c>
      <c r="E24" s="3" t="str">
        <f>"ED28A021"</f>
        <v>ED28A021</v>
      </c>
    </row>
    <row r="25" spans="1:5" x14ac:dyDescent="0.25">
      <c r="A25" s="3" t="str">
        <f>"279496"</f>
        <v>279496</v>
      </c>
      <c r="B25" s="4" t="str">
        <f>"81983773679"</f>
        <v>81983773679</v>
      </c>
      <c r="C25" t="str">
        <f>"EVERYDAY COUNTER-REL BIRTHDAY GRANDMA PKG/6-J5526"</f>
        <v>EVERYDAY COUNTER-REL BIRTHDAY GRANDMA PKG/6-J5526</v>
      </c>
      <c r="D25" s="5" t="s">
        <v>4</v>
      </c>
      <c r="E25" s="3" t="str">
        <f>"ED28A022"</f>
        <v>ED28A022</v>
      </c>
    </row>
    <row r="26" spans="1:5" x14ac:dyDescent="0.25">
      <c r="A26" s="3" t="str">
        <f>"298665"</f>
        <v>298665</v>
      </c>
      <c r="B26" s="4" t="str">
        <f>"81983774232"</f>
        <v>81983774232</v>
      </c>
      <c r="C26" t="str">
        <f>"EVERYDAY COUNTER-BDAY WIFE PKG/6-10229"</f>
        <v>EVERYDAY COUNTER-BDAY WIFE PKG/6-10229</v>
      </c>
      <c r="D26" s="3" t="str">
        <f>"10229"</f>
        <v>10229</v>
      </c>
      <c r="E26" s="3" t="str">
        <f>"ED28A023"</f>
        <v>ED28A023</v>
      </c>
    </row>
    <row r="27" spans="1:5" x14ac:dyDescent="0.25">
      <c r="A27" s="3" t="str">
        <f>"298666"</f>
        <v>298666</v>
      </c>
      <c r="B27" s="4" t="str">
        <f>"81983774225"</f>
        <v>81983774225</v>
      </c>
      <c r="C27" t="str">
        <f>"EVERYDAY COUNTER-BDAY WIFE PKG/6-10230"</f>
        <v>EVERYDAY COUNTER-BDAY WIFE PKG/6-10230</v>
      </c>
      <c r="D27" s="3" t="str">
        <f>"10230"</f>
        <v>10230</v>
      </c>
      <c r="E27" s="3" t="str">
        <f>"ED28A024"</f>
        <v>ED28A024</v>
      </c>
    </row>
    <row r="28" spans="1:5" x14ac:dyDescent="0.25">
      <c r="A28" s="3" t="str">
        <f>"349490"</f>
        <v>349490</v>
      </c>
      <c r="B28" s="4" t="str">
        <f>"81983778131"</f>
        <v>81983778131</v>
      </c>
      <c r="C28" t="str">
        <f>"EVERYDAY COUNTER-RELATIVE BIRTHDAY PKG/6-U0434"</f>
        <v>EVERYDAY COUNTER-RELATIVE BIRTHDAY PKG/6-U0434</v>
      </c>
      <c r="D28" s="3" t="str">
        <f>"U0434"</f>
        <v>U0434</v>
      </c>
      <c r="E28" s="3" t="str">
        <f>"ED28A025"</f>
        <v>ED28A025</v>
      </c>
    </row>
    <row r="29" spans="1:5" x14ac:dyDescent="0.25">
      <c r="A29" s="3" t="str">
        <f>"279750"</f>
        <v>279750</v>
      </c>
      <c r="B29" s="4" t="str">
        <f>"81983773914"</f>
        <v>81983773914</v>
      </c>
      <c r="C29" t="str">
        <f>"EVERYDAY COUNTER-RELATIVE BD MOTHER PKG/6-J9038"</f>
        <v>EVERYDAY COUNTER-RELATIVE BD MOTHER PKG/6-J9038</v>
      </c>
      <c r="D29" s="3" t="str">
        <f>"J9038"</f>
        <v>J9038</v>
      </c>
      <c r="E29" s="3" t="str">
        <f>"ED28A026"</f>
        <v>ED28A026</v>
      </c>
    </row>
    <row r="30" spans="1:5" x14ac:dyDescent="0.25">
      <c r="A30" s="3" t="str">
        <f>"298687"</f>
        <v>298687</v>
      </c>
      <c r="B30" s="4" t="str">
        <f>"81983652103"</f>
        <v>81983652103</v>
      </c>
      <c r="C30" t="str">
        <f>"EVERYDAY COUNTER-BIRTHDAY DAUGHTER PKG/6-10259"</f>
        <v>EVERYDAY COUNTER-BIRTHDAY DAUGHTER PKG/6-10259</v>
      </c>
      <c r="D30" s="3" t="str">
        <f>"10259"</f>
        <v>10259</v>
      </c>
      <c r="E30" s="3" t="str">
        <f>"ED28A027"</f>
        <v>ED28A027</v>
      </c>
    </row>
    <row r="31" spans="1:5" x14ac:dyDescent="0.25">
      <c r="A31" s="3" t="str">
        <f>"349533"</f>
        <v>349533</v>
      </c>
      <c r="B31" s="4" t="str">
        <f>"81983778513"</f>
        <v>81983778513</v>
      </c>
      <c r="C31" t="str">
        <f>"EVERYDAY COUNTER-BIRTHDAY PKG/6-U0482"</f>
        <v>EVERYDAY COUNTER-BIRTHDAY PKG/6-U0482</v>
      </c>
      <c r="D31" s="3" t="s">
        <v>42</v>
      </c>
      <c r="E31" s="3" t="str">
        <f>"ED28A028"</f>
        <v>ED28A028</v>
      </c>
    </row>
    <row r="32" spans="1:5" x14ac:dyDescent="0.25">
      <c r="A32" s="3" t="str">
        <f>"349534"</f>
        <v>349534</v>
      </c>
      <c r="B32" s="4" t="str">
        <f>"81983778520"</f>
        <v>81983778520</v>
      </c>
      <c r="C32" t="str">
        <f>"EVERYDAY COUNTER-BIRTHDAY PKG/6-U0483"</f>
        <v>EVERYDAY COUNTER-BIRTHDAY PKG/6-U0483</v>
      </c>
      <c r="D32" s="3" t="s">
        <v>43</v>
      </c>
      <c r="E32" s="3" t="str">
        <f>"ED28A029"</f>
        <v>ED28A029</v>
      </c>
    </row>
    <row r="33" spans="1:5" x14ac:dyDescent="0.25">
      <c r="A33" s="3" t="str">
        <f>"279497"</f>
        <v>279497</v>
      </c>
      <c r="B33" s="4" t="str">
        <f>"81983738609"</f>
        <v>81983738609</v>
      </c>
      <c r="C33" t="str">
        <f>"EVERYDAY COUNTER-REL BIRTHDAY GRANDMA PKG/6-J5527"</f>
        <v>EVERYDAY COUNTER-REL BIRTHDAY GRANDMA PKG/6-J5527</v>
      </c>
      <c r="D33" s="3" t="str">
        <f>"J5527"</f>
        <v>J5527</v>
      </c>
      <c r="E33" s="3" t="str">
        <f>"ED28A030"</f>
        <v>ED28A030</v>
      </c>
    </row>
    <row r="34" spans="1:5" x14ac:dyDescent="0.25">
      <c r="A34" s="3" t="str">
        <f>"279770"</f>
        <v>279770</v>
      </c>
      <c r="B34" s="4" t="str">
        <f>"81983774201"</f>
        <v>81983774201</v>
      </c>
      <c r="C34" t="str">
        <f>"EVERYDAY COUNTER-RELATIVE BD WIFE PKG/6-J9053"</f>
        <v>EVERYDAY COUNTER-RELATIVE BD WIFE PKG/6-J9053</v>
      </c>
      <c r="D34" s="3" t="str">
        <f>"J9053"</f>
        <v>J9053</v>
      </c>
      <c r="E34" s="3" t="str">
        <f>"ED28A031"</f>
        <v>ED28A031</v>
      </c>
    </row>
    <row r="35" spans="1:5" x14ac:dyDescent="0.25">
      <c r="A35" s="3" t="str">
        <f>"349507"</f>
        <v>349507</v>
      </c>
      <c r="B35" s="4" t="str">
        <f>"81983778193"</f>
        <v>81983778193</v>
      </c>
      <c r="C35" t="str">
        <f>"EVERYDAY COUNTER-RELATIVE BIRTHDAY PKG/6-U0440"</f>
        <v>EVERYDAY COUNTER-RELATIVE BIRTHDAY PKG/6-U0440</v>
      </c>
      <c r="D35" s="3" t="str">
        <f>"U0440"</f>
        <v>U0440</v>
      </c>
      <c r="E35" s="3" t="str">
        <f>"ED28A032"</f>
        <v>ED28A032</v>
      </c>
    </row>
    <row r="36" spans="1:5" x14ac:dyDescent="0.25">
      <c r="A36" s="3" t="str">
        <f>"279746"</f>
        <v>279746</v>
      </c>
      <c r="B36" s="4" t="str">
        <f>"81983773822"</f>
        <v>81983773822</v>
      </c>
      <c r="C36" t="str">
        <f>"EVERYDAY COUNTER-RELATIVE BD MOM PKG/6-J9035"</f>
        <v>EVERYDAY COUNTER-RELATIVE BD MOM PKG/6-J9035</v>
      </c>
      <c r="D36" s="3" t="str">
        <f>"J9035"</f>
        <v>J9035</v>
      </c>
      <c r="E36" s="3" t="str">
        <f>"ED28A033"</f>
        <v>ED28A033</v>
      </c>
    </row>
    <row r="37" spans="1:5" x14ac:dyDescent="0.25">
      <c r="A37" s="3" t="str">
        <f>"349492"</f>
        <v>349492</v>
      </c>
      <c r="B37" s="4" t="str">
        <f>"81983778162"</f>
        <v>81983778162</v>
      </c>
      <c r="C37" t="str">
        <f>"EVERYDAY COUNTER-RELATIVE BIRTHDAY PKG/6-U0437"</f>
        <v>EVERYDAY COUNTER-RELATIVE BIRTHDAY PKG/6-U0437</v>
      </c>
      <c r="D37" s="3" t="str">
        <f>"U0437"</f>
        <v>U0437</v>
      </c>
      <c r="E37" s="3" t="str">
        <f>"ED28A034"</f>
        <v>ED28A034</v>
      </c>
    </row>
    <row r="38" spans="1:5" x14ac:dyDescent="0.25">
      <c r="A38" s="3" t="str">
        <f>"279485"</f>
        <v>279485</v>
      </c>
      <c r="B38" s="4" t="str">
        <f>"81983738500"</f>
        <v>81983738500</v>
      </c>
      <c r="C38" t="str">
        <f>"EVERYDAY COUNTER-REL BD DAUGHTER ADULT PKG/6-J5517"</f>
        <v>EVERYDAY COUNTER-REL BD DAUGHTER ADULT PKG/6-J5517</v>
      </c>
      <c r="D38" s="3" t="str">
        <f>"J5517"</f>
        <v>J5517</v>
      </c>
      <c r="E38" s="3" t="str">
        <f>"ED28A035"</f>
        <v>ED28A035</v>
      </c>
    </row>
    <row r="39" spans="1:5" x14ac:dyDescent="0.25">
      <c r="A39" s="3" t="str">
        <f>"279758"</f>
        <v>279758</v>
      </c>
      <c r="B39" s="4" t="str">
        <f>"81983764332"</f>
        <v>81983764332</v>
      </c>
      <c r="C39" t="str">
        <f>"EVERYDAY COUNTER-RELATIVE BD SISTER PKG/6-J9044"</f>
        <v>EVERYDAY COUNTER-RELATIVE BD SISTER PKG/6-J9044</v>
      </c>
      <c r="D39" s="3" t="str">
        <f>"J9044"</f>
        <v>J9044</v>
      </c>
      <c r="E39" s="3" t="str">
        <f>"ED28A036"</f>
        <v>ED28A036</v>
      </c>
    </row>
    <row r="40" spans="1:5" x14ac:dyDescent="0.25">
      <c r="A40" s="3" t="str">
        <f>"307961"</f>
        <v>307961</v>
      </c>
      <c r="B40" s="4" t="str">
        <f>"81983678530"</f>
        <v>81983678530</v>
      </c>
      <c r="C40" t="str">
        <f>"EVERYDAY COUNTER-REL BDAY-SISTER-55101"</f>
        <v>EVERYDAY COUNTER-REL BDAY-SISTER-55101</v>
      </c>
      <c r="D40" s="3" t="str">
        <f>"55101"</f>
        <v>55101</v>
      </c>
      <c r="E40" s="3" t="str">
        <f>"ED28A037"</f>
        <v>ED28A037</v>
      </c>
    </row>
    <row r="41" spans="1:5" x14ac:dyDescent="0.25">
      <c r="A41" s="3" t="str">
        <f>"279492"</f>
        <v>279492</v>
      </c>
      <c r="B41" s="4" t="str">
        <f>"81983738555"</f>
        <v>81983738555</v>
      </c>
      <c r="C41" t="str">
        <f>"EVERYDAY COUNTER-REL BD GRANDDAUGHTER ADULT PKG/6-J5522"</f>
        <v>EVERYDAY COUNTER-REL BD GRANDDAUGHTER ADULT PKG/6-J5522</v>
      </c>
      <c r="D41" s="3" t="str">
        <f>"J5522"</f>
        <v>J5522</v>
      </c>
      <c r="E41" s="3" t="str">
        <f>"ED28A038"</f>
        <v>ED28A038</v>
      </c>
    </row>
    <row r="42" spans="1:5" x14ac:dyDescent="0.25">
      <c r="A42" s="3" t="str">
        <f>"307892"</f>
        <v>307892</v>
      </c>
      <c r="B42" s="4" t="str">
        <f>"81983774249"</f>
        <v>81983774249</v>
      </c>
      <c r="C42" t="str">
        <f>"EVERYDAY COUNTER-RELATIVE BDAY-WIFE-44113"</f>
        <v>EVERYDAY COUNTER-RELATIVE BDAY-WIFE-44113</v>
      </c>
      <c r="D42" s="3" t="s">
        <v>5</v>
      </c>
      <c r="E42" s="3" t="str">
        <f>"ED28A039"</f>
        <v>ED28A039</v>
      </c>
    </row>
    <row r="43" spans="1:5" x14ac:dyDescent="0.25">
      <c r="A43" s="3" t="str">
        <f>"279522"</f>
        <v>279522</v>
      </c>
      <c r="B43" s="4" t="str">
        <f>"81983738791"</f>
        <v>81983738791</v>
      </c>
      <c r="C43" t="str">
        <f>"EVERYDAY COUNTER-REL BD ONE I LOVE FEM PKG/6-J5546"</f>
        <v>EVERYDAY COUNTER-REL BD ONE I LOVE FEM PKG/6-J5546</v>
      </c>
      <c r="D43" s="3" t="str">
        <f>"J5546"</f>
        <v>J5546</v>
      </c>
      <c r="E43" s="3" t="str">
        <f>"ED28A040"</f>
        <v>ED28A040</v>
      </c>
    </row>
    <row r="44" spans="1:5" x14ac:dyDescent="0.25">
      <c r="A44" s="3" t="str">
        <f>"349491"</f>
        <v>349491</v>
      </c>
      <c r="B44" s="4" t="str">
        <f>"81983778124"</f>
        <v>81983778124</v>
      </c>
      <c r="C44" t="str">
        <f>"EVERYDAY COUNTER-RELATIVE BIRTHDAY PKG/6-U0433"</f>
        <v>EVERYDAY COUNTER-RELATIVE BIRTHDAY PKG/6-U0433</v>
      </c>
      <c r="D44" s="3" t="str">
        <f>"U0433"</f>
        <v>U0433</v>
      </c>
      <c r="E44" s="3" t="str">
        <f>"ED28A041"</f>
        <v>ED28A041</v>
      </c>
    </row>
    <row r="45" spans="1:5" x14ac:dyDescent="0.25">
      <c r="A45" s="3" t="str">
        <f>"279516"</f>
        <v>279516</v>
      </c>
      <c r="B45" s="4" t="str">
        <f>"81983738739"</f>
        <v>81983738739</v>
      </c>
      <c r="C45" t="str">
        <f>"EVERYDAY COUNTER-REL BD STEP MOTHER PKG/6-J5540"</f>
        <v>EVERYDAY COUNTER-REL BD STEP MOTHER PKG/6-J5540</v>
      </c>
      <c r="D45" s="3" t="str">
        <f>"J5540"</f>
        <v>J5540</v>
      </c>
      <c r="E45" s="3" t="str">
        <f>"ED28A042"</f>
        <v>ED28A042</v>
      </c>
    </row>
    <row r="46" spans="1:5" x14ac:dyDescent="0.25">
      <c r="A46" s="3" t="str">
        <f>"349457"</f>
        <v>349457</v>
      </c>
      <c r="B46" s="4" t="str">
        <f>"81983778032"</f>
        <v>81983778032</v>
      </c>
      <c r="C46" t="str">
        <f>"EVERYDAY COUNTER-RELATIVE BIRTHDAY PKG/6-U0424"</f>
        <v>EVERYDAY COUNTER-RELATIVE BIRTHDAY PKG/6-U0424</v>
      </c>
      <c r="D46" s="3" t="str">
        <f>"U0424"</f>
        <v>U0424</v>
      </c>
      <c r="E46" s="3" t="str">
        <f>"ED28A043"</f>
        <v>ED28A043</v>
      </c>
    </row>
    <row r="47" spans="1:5" x14ac:dyDescent="0.25">
      <c r="A47" s="3" t="str">
        <f>"308141"</f>
        <v>308141</v>
      </c>
      <c r="B47" s="4" t="str">
        <f>"81983678660"</f>
        <v>81983678660</v>
      </c>
      <c r="C47" t="str">
        <f>"EVERYDAY COUNTER-RELATIVE BIRTHDAY SISTER-82365"</f>
        <v>EVERYDAY COUNTER-RELATIVE BIRTHDAY SISTER-82365</v>
      </c>
      <c r="D47" s="3" t="str">
        <f>"82365"</f>
        <v>82365</v>
      </c>
      <c r="E47" s="3" t="str">
        <f>"ED28A044"</f>
        <v>ED28A044</v>
      </c>
    </row>
    <row r="48" spans="1:5" x14ac:dyDescent="0.25">
      <c r="A48" s="3" t="str">
        <f>"298696"</f>
        <v>298696</v>
      </c>
      <c r="B48" s="4" t="str">
        <f>"81983652288"</f>
        <v>81983652288</v>
      </c>
      <c r="C48" t="str">
        <f>"EVERYDAY COUNTER-BIRTHDAY SISTER PKG/6-10273"</f>
        <v>EVERYDAY COUNTER-BIRTHDAY SISTER PKG/6-10273</v>
      </c>
      <c r="D48" s="3" t="s">
        <v>6</v>
      </c>
      <c r="E48" s="3" t="str">
        <f>"ED28A045"</f>
        <v>ED28A045</v>
      </c>
    </row>
    <row r="49" spans="1:5" x14ac:dyDescent="0.25">
      <c r="A49" s="3" t="str">
        <f>"308411"</f>
        <v>308411</v>
      </c>
      <c r="B49" s="4" t="str">
        <f>"81983715204"</f>
        <v>81983715204</v>
      </c>
      <c r="C49" t="str">
        <f>"EVERYDAY COUNTER-RELATIVE BD GRANDDAUGHTER - A PKG/6-J2746"</f>
        <v>EVERYDAY COUNTER-RELATIVE BD GRANDDAUGHTER - A PKG/6-J2746</v>
      </c>
      <c r="D49" s="3" t="str">
        <f>"J2746"</f>
        <v>J2746</v>
      </c>
      <c r="E49" s="3" t="str">
        <f>"ED28A046"</f>
        <v>ED28A046</v>
      </c>
    </row>
    <row r="50" spans="1:5" x14ac:dyDescent="0.25">
      <c r="A50" s="3" t="str">
        <f>"349519"</f>
        <v>349519</v>
      </c>
      <c r="B50" s="4" t="str">
        <f>"81983778308"</f>
        <v>81983778308</v>
      </c>
      <c r="C50" t="str">
        <f>"EVERYDAY COUNTER-RELATIVE BIRTHDAY PKG/6-U0451"</f>
        <v>EVERYDAY COUNTER-RELATIVE BIRTHDAY PKG/6-U0451</v>
      </c>
      <c r="D50" s="3" t="str">
        <f>"U0451"</f>
        <v>U0451</v>
      </c>
      <c r="E50" s="3" t="str">
        <f>"ED28A047"</f>
        <v>ED28A047</v>
      </c>
    </row>
    <row r="51" spans="1:5" x14ac:dyDescent="0.25">
      <c r="A51" s="3" t="str">
        <f>"279521"</f>
        <v>279521</v>
      </c>
      <c r="B51" s="4" t="str">
        <f>"81983738784"</f>
        <v>81983738784</v>
      </c>
      <c r="C51" t="str">
        <f>"EVERYDAY COUNTER-REL BD ONE I LOVE FEM PKG/6-J5545"</f>
        <v>EVERYDAY COUNTER-REL BD ONE I LOVE FEM PKG/6-J5545</v>
      </c>
      <c r="D51" s="3" t="str">
        <f>"J5545"</f>
        <v>J5545</v>
      </c>
      <c r="E51" s="3" t="str">
        <f>"ED28A048"</f>
        <v>ED28A048</v>
      </c>
    </row>
    <row r="52" spans="1:5" x14ac:dyDescent="0.25">
      <c r="A52" s="3" t="str">
        <f>"308311"</f>
        <v>308311</v>
      </c>
      <c r="B52" s="4" t="str">
        <f>"81983685545"</f>
        <v>81983685545</v>
      </c>
      <c r="C52" t="str">
        <f>"EVERYDAY COUNTER-BIRTHDAY MOM PKG/6-J0340"</f>
        <v>EVERYDAY COUNTER-BIRTHDAY MOM PKG/6-J0340</v>
      </c>
      <c r="D52" s="3" t="str">
        <f>"J0340"</f>
        <v>J0340</v>
      </c>
      <c r="E52" s="3" t="str">
        <f>"ED28A049"</f>
        <v>ED28A049</v>
      </c>
    </row>
    <row r="53" spans="1:5" x14ac:dyDescent="0.25">
      <c r="A53" s="3" t="str">
        <f>"279729"</f>
        <v>279729</v>
      </c>
      <c r="B53" s="4" t="str">
        <f>"81983764097"</f>
        <v>81983764097</v>
      </c>
      <c r="C53" t="str">
        <f>"EVERYDAY COUNTER-RELATIVE BD DAUGHTER PKG/6-J9020"</f>
        <v>EVERYDAY COUNTER-RELATIVE BD DAUGHTER PKG/6-J9020</v>
      </c>
      <c r="D53" s="3" t="s">
        <v>7</v>
      </c>
      <c r="E53" s="3" t="str">
        <f>"ED28A050"</f>
        <v>ED28A050</v>
      </c>
    </row>
    <row r="54" spans="1:5" x14ac:dyDescent="0.25">
      <c r="A54" s="3" t="str">
        <f>"307929"</f>
        <v>307929</v>
      </c>
      <c r="B54" s="4" t="str">
        <f>"81983612947"</f>
        <v>81983612947</v>
      </c>
      <c r="C54" t="str">
        <f>"EVERYDAY COUNTER-RELATIVE BDAY-DAUGHTER-44455"</f>
        <v>EVERYDAY COUNTER-RELATIVE BDAY-DAUGHTER-44455</v>
      </c>
      <c r="D54" s="3" t="str">
        <f>"44455"</f>
        <v>44455</v>
      </c>
      <c r="E54" s="3" t="str">
        <f>"ED28A051"</f>
        <v>ED28A051</v>
      </c>
    </row>
    <row r="55" spans="1:5" x14ac:dyDescent="0.25">
      <c r="A55" s="3" t="str">
        <f>"298695"</f>
        <v>298695</v>
      </c>
      <c r="B55" s="4" t="str">
        <f>"81983652264"</f>
        <v>81983652264</v>
      </c>
      <c r="C55" t="str">
        <f>"EVERYDAY COUNTER-BIRTHDAY SISTER PKG/6-10272"</f>
        <v>EVERYDAY COUNTER-BIRTHDAY SISTER PKG/6-10272</v>
      </c>
      <c r="D55" s="3" t="str">
        <f>"10272"</f>
        <v>10272</v>
      </c>
      <c r="E55" s="3" t="str">
        <f>"ED28A052"</f>
        <v>ED28A052</v>
      </c>
    </row>
    <row r="56" spans="1:5" x14ac:dyDescent="0.25">
      <c r="A56" s="3" t="str">
        <f>"349511"</f>
        <v>349511</v>
      </c>
      <c r="B56" s="4" t="str">
        <f>"81983778230"</f>
        <v>81983778230</v>
      </c>
      <c r="C56" t="str">
        <f>"EVERYDAY COUNTER-RELATIVE BIRTHDAY PKG/6-U0444"</f>
        <v>EVERYDAY COUNTER-RELATIVE BIRTHDAY PKG/6-U0444</v>
      </c>
      <c r="D56" s="3" t="str">
        <f>"U0444"</f>
        <v>U0444</v>
      </c>
      <c r="E56" s="3" t="str">
        <f>"ED28A053"</f>
        <v>ED28A053</v>
      </c>
    </row>
    <row r="57" spans="1:5" x14ac:dyDescent="0.25">
      <c r="A57" s="3" t="str">
        <f>"308412"</f>
        <v>308412</v>
      </c>
      <c r="B57" s="4" t="str">
        <f>"81983715211"</f>
        <v>81983715211</v>
      </c>
      <c r="C57" t="str">
        <f>"EVERYDAY COUNTER-RELATIVE BD GRANDDAUGHTER - A PKG/6-J2747"</f>
        <v>EVERYDAY COUNTER-RELATIVE BD GRANDDAUGHTER - A PKG/6-J2747</v>
      </c>
      <c r="D57" s="3" t="str">
        <f>"J2747"</f>
        <v>J2747</v>
      </c>
      <c r="E57" s="3" t="str">
        <f>"ED28A054"</f>
        <v>ED28A054</v>
      </c>
    </row>
    <row r="58" spans="1:5" x14ac:dyDescent="0.25">
      <c r="A58" s="3" t="str">
        <f>"279771"</f>
        <v>279771</v>
      </c>
      <c r="B58" s="4" t="str">
        <f>"81983774218"</f>
        <v>81983774218</v>
      </c>
      <c r="C58" t="str">
        <f>"EVERYDAY COUNTER-RELATIVE BD WIFE PKG/6-J9054"</f>
        <v>EVERYDAY COUNTER-RELATIVE BD WIFE PKG/6-J9054</v>
      </c>
      <c r="D58" s="3" t="str">
        <f>"J9054"</f>
        <v>J9054</v>
      </c>
      <c r="E58" s="3" t="str">
        <f>"ED28A055"</f>
        <v>ED28A055</v>
      </c>
    </row>
    <row r="59" spans="1:5" x14ac:dyDescent="0.25">
      <c r="A59" s="3" t="str">
        <f>"349508"</f>
        <v>349508</v>
      </c>
      <c r="B59" s="4" t="str">
        <f>"81983778209"</f>
        <v>81983778209</v>
      </c>
      <c r="C59" t="str">
        <f>"EVERYDAY COUNTER-RELATIVE BIRTHDAY PKG/6-U0441"</f>
        <v>EVERYDAY COUNTER-RELATIVE BIRTHDAY PKG/6-U0441</v>
      </c>
      <c r="D59" s="3" t="str">
        <f>"U0441"</f>
        <v>U0441</v>
      </c>
      <c r="E59" s="3" t="str">
        <f>"ED28A056"</f>
        <v>ED28A056</v>
      </c>
    </row>
    <row r="60" spans="1:5" x14ac:dyDescent="0.25">
      <c r="A60" s="3" t="str">
        <f>"279508"</f>
        <v>279508</v>
      </c>
      <c r="B60" s="4" t="str">
        <f>"81983773815"</f>
        <v>81983773815</v>
      </c>
      <c r="C60" t="str">
        <f>"EVERYDAY COUNTER-REL BD MOM PKG/6-J5534"</f>
        <v>EVERYDAY COUNTER-REL BD MOM PKG/6-J5534</v>
      </c>
      <c r="D60" s="3" t="str">
        <f>"J5534"</f>
        <v>J5534</v>
      </c>
      <c r="E60" s="3" t="str">
        <f>"ED28A057"</f>
        <v>ED28A057</v>
      </c>
    </row>
    <row r="61" spans="1:5" x14ac:dyDescent="0.25">
      <c r="A61" s="3" t="str">
        <f>"307930"</f>
        <v>307930</v>
      </c>
      <c r="B61" s="4" t="str">
        <f>"81983612954"</f>
        <v>81983612954</v>
      </c>
      <c r="C61" t="str">
        <f>"EVERYDAY COUNTER-DAUGHTER BIRTHDAY pkg/4-44464"</f>
        <v>EVERYDAY COUNTER-DAUGHTER BIRTHDAY pkg/4-44464</v>
      </c>
      <c r="D61" s="3" t="str">
        <f>"44464"</f>
        <v>44464</v>
      </c>
      <c r="E61" s="3" t="str">
        <f>"ED28A058"</f>
        <v>ED28A058</v>
      </c>
    </row>
    <row r="62" spans="1:5" x14ac:dyDescent="0.25">
      <c r="A62" s="3" t="str">
        <f>"308409"</f>
        <v>308409</v>
      </c>
      <c r="B62" s="4" t="str">
        <f>"81983715174"</f>
        <v>81983715174</v>
      </c>
      <c r="C62" t="str">
        <f>"EVERYDAY COUNTER-RELATIVE BD DAUGHTER PKG/6-J2743"</f>
        <v>EVERYDAY COUNTER-RELATIVE BD DAUGHTER PKG/6-J2743</v>
      </c>
      <c r="D62" s="3" t="str">
        <f>"J2743"</f>
        <v>J2743</v>
      </c>
      <c r="E62" s="3" t="str">
        <f>"ED28A059"</f>
        <v>ED28A059</v>
      </c>
    </row>
    <row r="63" spans="1:5" x14ac:dyDescent="0.25">
      <c r="A63" s="3" t="str">
        <f>"298793"</f>
        <v>298793</v>
      </c>
      <c r="B63" s="4" t="str">
        <f>"81983498015"</f>
        <v>81983498015</v>
      </c>
      <c r="C63" t="str">
        <f>"EVERYDAY COUNTER-SISTER-39250"</f>
        <v>EVERYDAY COUNTER-SISTER-39250</v>
      </c>
      <c r="D63" s="3" t="str">
        <f>"39250"</f>
        <v>39250</v>
      </c>
      <c r="E63" s="3" t="str">
        <f>"ED28A060"</f>
        <v>ED28A060</v>
      </c>
    </row>
    <row r="64" spans="1:5" x14ac:dyDescent="0.25">
      <c r="A64" s="3" t="str">
        <f>"349512"</f>
        <v>349512</v>
      </c>
      <c r="B64" s="4" t="str">
        <f>"81983778223"</f>
        <v>81983778223</v>
      </c>
      <c r="C64" t="str">
        <f>"EVERYDAY COUNTER-RELATIVE BIRTHDAY PKG/6-U0443"</f>
        <v>EVERYDAY COUNTER-RELATIVE BIRTHDAY PKG/6-U0443</v>
      </c>
      <c r="D64" s="3" t="str">
        <f>"U0443"</f>
        <v>U0443</v>
      </c>
      <c r="E64" s="3" t="str">
        <f>"ED28A061"</f>
        <v>ED28A061</v>
      </c>
    </row>
    <row r="65" spans="1:5" x14ac:dyDescent="0.25">
      <c r="A65" s="3" t="str">
        <f>"298785"</f>
        <v>298785</v>
      </c>
      <c r="B65" s="4" t="str">
        <f>"81983550416"</f>
        <v>81983550416</v>
      </c>
      <c r="C65" t="str">
        <f>"EVERYDAY COUNTER-GRANDDAUGHTER BIRTHDAY-27079"</f>
        <v>EVERYDAY COUNTER-GRANDDAUGHTER BIRTHDAY-27079</v>
      </c>
      <c r="D65" s="3" t="str">
        <f>"27079"</f>
        <v>27079</v>
      </c>
      <c r="E65" s="3" t="str">
        <f>"ED28A062"</f>
        <v>ED28A062</v>
      </c>
    </row>
    <row r="66" spans="1:5" x14ac:dyDescent="0.25">
      <c r="A66" s="3" t="str">
        <f>"279532"</f>
        <v>279532</v>
      </c>
      <c r="B66" s="4" t="str">
        <f>"81983738883"</f>
        <v>81983738883</v>
      </c>
      <c r="C66" t="str">
        <f>"EVERYDAY COUNTER-REL BD WIFE PKG/6-J5555"</f>
        <v>EVERYDAY COUNTER-REL BD WIFE PKG/6-J5555</v>
      </c>
      <c r="D66" s="3" t="str">
        <f>"J5555"</f>
        <v>J5555</v>
      </c>
      <c r="E66" s="3" t="str">
        <f>"ED28A063"</f>
        <v>ED28A063</v>
      </c>
    </row>
    <row r="67" spans="1:5" x14ac:dyDescent="0.25">
      <c r="A67" s="3" t="str">
        <f>"308320"</f>
        <v>308320</v>
      </c>
      <c r="B67" s="4" t="str">
        <f>"81983685644"</f>
        <v>81983685644</v>
      </c>
      <c r="C67" t="str">
        <f>"EVERYDAY COUNTER-BIRTHDAY SPOUSE PKG/6-J0350"</f>
        <v>EVERYDAY COUNTER-BIRTHDAY SPOUSE PKG/6-J0350</v>
      </c>
      <c r="D67" s="3" t="str">
        <f>"J0350"</f>
        <v>J0350</v>
      </c>
      <c r="E67" s="3" t="str">
        <f>"ED28A064"</f>
        <v>ED28A064</v>
      </c>
    </row>
    <row r="68" spans="1:5" x14ac:dyDescent="0.25">
      <c r="A68" s="3" t="str">
        <f>"380075"</f>
        <v>380075</v>
      </c>
      <c r="B68" s="4" t="str">
        <f>"81983603631"</f>
        <v>81983603631</v>
      </c>
      <c r="C68" t="str">
        <f>"EVERYDAY COUNTER-BIRTHDAY MOM PKG/6-27204"</f>
        <v>EVERYDAY COUNTER-BIRTHDAY MOM PKG/6-27204</v>
      </c>
      <c r="D68" s="3" t="str">
        <f>"27204"</f>
        <v>27204</v>
      </c>
      <c r="E68" s="3" t="str">
        <f>"ED28A065"</f>
        <v>ED28A065</v>
      </c>
    </row>
    <row r="69" spans="1:5" x14ac:dyDescent="0.25">
      <c r="A69" s="3" t="str">
        <f>"279733"</f>
        <v>279733</v>
      </c>
      <c r="B69" s="4" t="str">
        <f>"81983773600"</f>
        <v>81983773600</v>
      </c>
      <c r="C69" t="str">
        <f>"EVERYDAY COUNTER-RELATIVE BD DAUGHTER TEEN PKG/6-J9023"</f>
        <v>EVERYDAY COUNTER-RELATIVE BD DAUGHTER TEEN PKG/6-J9023</v>
      </c>
      <c r="D69" s="3" t="str">
        <f>"J9023"</f>
        <v>J9023</v>
      </c>
      <c r="E69" s="3" t="str">
        <f>"ED28A066"</f>
        <v>ED28A066</v>
      </c>
    </row>
    <row r="70" spans="1:5" x14ac:dyDescent="0.25">
      <c r="A70" s="3" t="str">
        <f>"308028"</f>
        <v>308028</v>
      </c>
      <c r="B70" s="4" t="str">
        <f>"81983678608"</f>
        <v>81983678608</v>
      </c>
      <c r="C70" t="str">
        <f>"EVERYDAY COUNTER-DAUGHTER (ADULT) BIRTHDAY-66671"</f>
        <v>EVERYDAY COUNTER-DAUGHTER (ADULT) BIRTHDAY-66671</v>
      </c>
      <c r="D70" s="3" t="str">
        <f>"66671"</f>
        <v>66671</v>
      </c>
      <c r="E70" s="3" t="str">
        <f>"ED28A067"</f>
        <v>ED28A067</v>
      </c>
    </row>
    <row r="71" spans="1:5" x14ac:dyDescent="0.25">
      <c r="A71" s="3" t="str">
        <f>"298697"</f>
        <v>298697</v>
      </c>
      <c r="B71" s="4" t="str">
        <f>"81983652295"</f>
        <v>81983652295</v>
      </c>
      <c r="C71" t="str">
        <f>"EVERYDAY COUNTER-BIRTHDAY SISTER PKG/6-10274"</f>
        <v>EVERYDAY COUNTER-BIRTHDAY SISTER PKG/6-10274</v>
      </c>
      <c r="D71" s="3" t="str">
        <f>"10274"</f>
        <v>10274</v>
      </c>
      <c r="E71" s="3" t="str">
        <f>"ED28A068"</f>
        <v>ED28A068</v>
      </c>
    </row>
    <row r="72" spans="1:5" x14ac:dyDescent="0.25">
      <c r="A72" s="3" t="str">
        <f>"298694"</f>
        <v>298694</v>
      </c>
      <c r="B72" s="4" t="str">
        <f>"81983652257"</f>
        <v>81983652257</v>
      </c>
      <c r="C72" t="str">
        <f>"EVERYDAY COUNTER-BIRTHDAY SISTER PKG/6-10271"</f>
        <v>EVERYDAY COUNTER-BIRTHDAY SISTER PKG/6-10271</v>
      </c>
      <c r="D72" s="3" t="str">
        <f>"10271"</f>
        <v>10271</v>
      </c>
      <c r="E72" s="3" t="str">
        <f>"ED28A069"</f>
        <v>ED28A069</v>
      </c>
    </row>
    <row r="73" spans="1:5" x14ac:dyDescent="0.25">
      <c r="A73" s="3" t="str">
        <f>"279737"</f>
        <v>279737</v>
      </c>
      <c r="B73" s="4" t="str">
        <f>"81983764165"</f>
        <v>81983764165</v>
      </c>
      <c r="C73" t="str">
        <f>"EVERYDAY COUNTER-RELATIVE BD GRANDDAUGHTER PKG/6-J9027"</f>
        <v>EVERYDAY COUNTER-RELATIVE BD GRANDDAUGHTER PKG/6-J9027</v>
      </c>
      <c r="D73" s="3" t="str">
        <f>"J9027"</f>
        <v>J9027</v>
      </c>
      <c r="E73" s="3" t="str">
        <f>"ED28A070"</f>
        <v>ED28A070</v>
      </c>
    </row>
    <row r="74" spans="1:5" x14ac:dyDescent="0.25">
      <c r="A74" s="3" t="str">
        <f>"279724"</f>
        <v>279724</v>
      </c>
      <c r="B74" s="4" t="str">
        <f>"81983764059"</f>
        <v>81983764059</v>
      </c>
      <c r="C74" t="str">
        <f>"EVERYDAY COUNTER-RELATIVE BD AUNT PKG/6-J9016"</f>
        <v>EVERYDAY COUNTER-RELATIVE BD AUNT PKG/6-J9016</v>
      </c>
      <c r="D74" s="3" t="str">
        <f>"J9016"</f>
        <v>J9016</v>
      </c>
      <c r="E74" s="3" t="str">
        <f>"ED28A071"</f>
        <v>ED28A071</v>
      </c>
    </row>
    <row r="75" spans="1:5" x14ac:dyDescent="0.25">
      <c r="A75" s="3" t="str">
        <f>"308319"</f>
        <v>308319</v>
      </c>
      <c r="B75" s="4" t="str">
        <f>"81983685637"</f>
        <v>81983685637</v>
      </c>
      <c r="C75" t="str">
        <f>"EVERYDAY COUNTER-BIRTHDAY FOR HIM PKG/6-J0349"</f>
        <v>EVERYDAY COUNTER-BIRTHDAY FOR HIM PKG/6-J0349</v>
      </c>
      <c r="D75" s="3" t="str">
        <f>"J0349"</f>
        <v>J0349</v>
      </c>
      <c r="E75" s="3" t="str">
        <f>"ED28A072"</f>
        <v>ED28A072</v>
      </c>
    </row>
    <row r="76" spans="1:5" x14ac:dyDescent="0.25">
      <c r="A76" s="3" t="str">
        <f>"308419"</f>
        <v>308419</v>
      </c>
      <c r="B76" s="4" t="str">
        <f>"81983773846"</f>
        <v>81983773846</v>
      </c>
      <c r="C76" t="str">
        <f>"EVERYDAY COUNTER-RELATIVE BD MOM PKG/6-J2757"</f>
        <v>EVERYDAY COUNTER-RELATIVE BD MOM PKG/6-J2757</v>
      </c>
      <c r="D76" s="3" t="s">
        <v>8</v>
      </c>
      <c r="E76" s="3" t="str">
        <f>"ED28A073"</f>
        <v>ED28A073</v>
      </c>
    </row>
    <row r="77" spans="1:5" x14ac:dyDescent="0.25">
      <c r="A77" s="3" t="str">
        <f>"308299"</f>
        <v>308299</v>
      </c>
      <c r="B77" s="4" t="str">
        <f>"81983685415"</f>
        <v>81983685415</v>
      </c>
      <c r="C77" t="str">
        <f>"EVERYDAY COUNTER-BIRTHDAY DAUGHTER TEEN PKG/6-J0327"</f>
        <v>EVERYDAY COUNTER-BIRTHDAY DAUGHTER TEEN PKG/6-J0327</v>
      </c>
      <c r="D77" s="3" t="str">
        <f>"J0327"</f>
        <v>J0327</v>
      </c>
      <c r="E77" s="3" t="str">
        <f>"ED28A074"</f>
        <v>ED28A074</v>
      </c>
    </row>
    <row r="78" spans="1:5" x14ac:dyDescent="0.25">
      <c r="A78" s="3" t="str">
        <f>"349454"</f>
        <v>349454</v>
      </c>
      <c r="B78" s="4" t="str">
        <f>"81983778025"</f>
        <v>81983778025</v>
      </c>
      <c r="C78" t="str">
        <f>"EVERYDAY COUNTER-RELATIVE BIRTHDAY PKG/6-U0423"</f>
        <v>EVERYDAY COUNTER-RELATIVE BIRTHDAY PKG/6-U0423</v>
      </c>
      <c r="D78" s="3" t="str">
        <f>"U0423"</f>
        <v>U0423</v>
      </c>
      <c r="E78" s="3" t="str">
        <f>"ED28A075"</f>
        <v>ED28A075</v>
      </c>
    </row>
    <row r="79" spans="1:5" x14ac:dyDescent="0.25">
      <c r="A79" s="3" t="str">
        <f>"279524"</f>
        <v>279524</v>
      </c>
      <c r="B79" s="4" t="str">
        <f>"81983738814"</f>
        <v>81983738814</v>
      </c>
      <c r="C79" t="str">
        <f>"EVERYDAY COUNTER-REL BD SISTER PKG/6-J5548"</f>
        <v>EVERYDAY COUNTER-REL BD SISTER PKG/6-J5548</v>
      </c>
      <c r="D79" s="3" t="str">
        <f>"J5548"</f>
        <v>J5548</v>
      </c>
      <c r="E79" s="3" t="str">
        <f>"ED28A076"</f>
        <v>ED28A076</v>
      </c>
    </row>
    <row r="80" spans="1:5" x14ac:dyDescent="0.25">
      <c r="A80" s="3" t="str">
        <f>"349509"</f>
        <v>349509</v>
      </c>
      <c r="B80" s="4" t="str">
        <f>"81983778216"</f>
        <v>81983778216</v>
      </c>
      <c r="C80" t="str">
        <f>"EVERYDAY COUNTER-RELATIVE BIRTHDAY PKG/6-U0442"</f>
        <v>EVERYDAY COUNTER-RELATIVE BIRTHDAY PKG/6-U0442</v>
      </c>
      <c r="D80" s="3" t="str">
        <f>"U0442"</f>
        <v>U0442</v>
      </c>
      <c r="E80" s="3" t="str">
        <f>"ED28A077"</f>
        <v>ED28A077</v>
      </c>
    </row>
    <row r="81" spans="1:5" x14ac:dyDescent="0.25">
      <c r="A81" s="3" t="str">
        <f>"307931"</f>
        <v>307931</v>
      </c>
      <c r="B81" s="4" t="str">
        <f>"81983612992"</f>
        <v>81983612992</v>
      </c>
      <c r="C81" t="str">
        <f>"EVERYDAY COUNTER-RELATIVE BDAY-GRANDDAUGHTER-44470"</f>
        <v>EVERYDAY COUNTER-RELATIVE BDAY-GRANDDAUGHTER-44470</v>
      </c>
      <c r="D81" s="3" t="str">
        <f>"44470"</f>
        <v>44470</v>
      </c>
      <c r="E81" s="3" t="str">
        <f>"ED28A078"</f>
        <v>ED28A078</v>
      </c>
    </row>
    <row r="82" spans="1:5" x14ac:dyDescent="0.25">
      <c r="A82" s="3" t="str">
        <f>"349449"</f>
        <v>349449</v>
      </c>
      <c r="B82" s="4" t="str">
        <f>"81983777974"</f>
        <v>81983777974</v>
      </c>
      <c r="C82" t="str">
        <f>"EVERYDAY COUNTER-RELATIVE BIRTHDAY PKG/6-U0418"</f>
        <v>EVERYDAY COUNTER-RELATIVE BIRTHDAY PKG/6-U0418</v>
      </c>
      <c r="D82" s="3" t="str">
        <f>"U0418"</f>
        <v>U0418</v>
      </c>
      <c r="E82" s="3" t="str">
        <f>"ED28A079"</f>
        <v>ED28A079</v>
      </c>
    </row>
    <row r="83" spans="1:5" x14ac:dyDescent="0.25">
      <c r="A83" s="3" t="str">
        <f>"279753"</f>
        <v>279753</v>
      </c>
      <c r="B83" s="4" t="str">
        <f>"81983773969"</f>
        <v>81983773969</v>
      </c>
      <c r="C83" t="str">
        <f>"EVERYDAY COUNTER-RELATIVE BD ONE I LOVE MASC PKG/6-J9041"</f>
        <v>EVERYDAY COUNTER-RELATIVE BD ONE I LOVE MASC PKG/6-J9041</v>
      </c>
      <c r="D83" s="3" t="str">
        <f>"J9041"</f>
        <v>J9041</v>
      </c>
      <c r="E83" s="3" t="str">
        <f>"ED28A080"</f>
        <v>ED28A080</v>
      </c>
    </row>
    <row r="84" spans="1:5" x14ac:dyDescent="0.25">
      <c r="A84" s="3" t="str">
        <f>"349487"</f>
        <v>349487</v>
      </c>
      <c r="B84" s="4" t="str">
        <f>"81983778117"</f>
        <v>81983778117</v>
      </c>
      <c r="C84" t="str">
        <f>"EVERYDAY COUNTER-RELATIVE BIRTHDAY PKG/6-U0432"</f>
        <v>EVERYDAY COUNTER-RELATIVE BIRTHDAY PKG/6-U0432</v>
      </c>
      <c r="D84" s="3" t="str">
        <f>"U0432"</f>
        <v>U0432</v>
      </c>
      <c r="E84" s="3" t="str">
        <f>"ED28A081"</f>
        <v>ED28A081</v>
      </c>
    </row>
    <row r="85" spans="1:5" x14ac:dyDescent="0.25">
      <c r="A85" s="3" t="str">
        <f>"307971"</f>
        <v>307971</v>
      </c>
      <c r="B85" s="4" t="str">
        <f>"81983618635"</f>
        <v>81983618635</v>
      </c>
      <c r="C85" t="str">
        <f>"EVERYDAY COUNTER-DAUGHTER BIRTHDAY-55111"</f>
        <v>EVERYDAY COUNTER-DAUGHTER BIRTHDAY-55111</v>
      </c>
      <c r="D85" s="3" t="str">
        <f>"55111"</f>
        <v>55111</v>
      </c>
      <c r="E85" s="3" t="str">
        <f>"ED28A082"</f>
        <v>ED28A082</v>
      </c>
    </row>
    <row r="86" spans="1:5" x14ac:dyDescent="0.25">
      <c r="A86" s="3" t="str">
        <f>"279728"</f>
        <v>279728</v>
      </c>
      <c r="B86" s="4" t="str">
        <f>"81983773556"</f>
        <v>81983773556</v>
      </c>
      <c r="C86" t="str">
        <f>"EVERYDAY COUNTER-RELATIVE BD DAUGHTER PKG/6-J9019"</f>
        <v>EVERYDAY COUNTER-RELATIVE BD DAUGHTER PKG/6-J9019</v>
      </c>
      <c r="D86" s="3" t="str">
        <f>"J9019"</f>
        <v>J9019</v>
      </c>
      <c r="E86" s="3" t="str">
        <f>"ED28A083"</f>
        <v>ED28A083</v>
      </c>
    </row>
    <row r="87" spans="1:5" x14ac:dyDescent="0.25">
      <c r="A87" s="3" t="str">
        <f>"308323"</f>
        <v>308323</v>
      </c>
      <c r="B87" s="4" t="str">
        <f>"81983774003"</f>
        <v>81983774003</v>
      </c>
      <c r="C87" t="str">
        <f>"EVERYDAY COUNTER-BIRTHDAY SISTER PKG/6-J0353"</f>
        <v>EVERYDAY COUNTER-BIRTHDAY SISTER PKG/6-J0353</v>
      </c>
      <c r="D87" s="3" t="str">
        <f>"J0353"</f>
        <v>J0353</v>
      </c>
      <c r="E87" s="3" t="str">
        <f>"ED28A084"</f>
        <v>ED28A084</v>
      </c>
    </row>
    <row r="88" spans="1:5" x14ac:dyDescent="0.25">
      <c r="A88" s="3" t="str">
        <f>"308324"</f>
        <v>308324</v>
      </c>
      <c r="B88" s="4" t="str">
        <f>"81983774027"</f>
        <v>81983774027</v>
      </c>
      <c r="C88" t="str">
        <f>"EVERYDAY COUNTER-BIRTHDAY SISTER-IN-LAW PKG/6-J0354"</f>
        <v>EVERYDAY COUNTER-BIRTHDAY SISTER-IN-LAW PKG/6-J0354</v>
      </c>
      <c r="D88" s="3" t="str">
        <f>"J0354"</f>
        <v>J0354</v>
      </c>
      <c r="E88" s="3" t="str">
        <f>"ED28A085"</f>
        <v>ED28A085</v>
      </c>
    </row>
    <row r="89" spans="1:5" x14ac:dyDescent="0.25">
      <c r="A89" s="3" t="str">
        <f>"308098"</f>
        <v>308098</v>
      </c>
      <c r="B89" s="4" t="str">
        <f>"81983644085"</f>
        <v>81983644085</v>
      </c>
      <c r="C89" t="str">
        <f>"EVERYDAY COUNTER-BDAY GRANDDAUGHTER-76278"</f>
        <v>EVERYDAY COUNTER-BDAY GRANDDAUGHTER-76278</v>
      </c>
      <c r="D89" s="3" t="str">
        <f>"76278"</f>
        <v>76278</v>
      </c>
      <c r="E89" s="3" t="str">
        <f>"ED28A086"</f>
        <v>ED28A086</v>
      </c>
    </row>
    <row r="90" spans="1:5" x14ac:dyDescent="0.25">
      <c r="A90" s="3" t="str">
        <f>"279739"</f>
        <v>279739</v>
      </c>
      <c r="B90" s="4" t="str">
        <f>"81983764189"</f>
        <v>81983764189</v>
      </c>
      <c r="C90" t="str">
        <f>"EVERYDAY COUNTER-RELATIVE BD GRANDDAUGHTER PKG/6-J9029"</f>
        <v>EVERYDAY COUNTER-RELATIVE BD GRANDDAUGHTER PKG/6-J9029</v>
      </c>
      <c r="D90" s="3" t="str">
        <f>"J9029"</f>
        <v>J9029</v>
      </c>
      <c r="E90" s="3" t="str">
        <f>"ED28A087"</f>
        <v>ED28A087</v>
      </c>
    </row>
    <row r="91" spans="1:5" x14ac:dyDescent="0.25">
      <c r="A91" s="3" t="str">
        <f>"308406"</f>
        <v>308406</v>
      </c>
      <c r="B91" s="4" t="str">
        <f>"81983715129"</f>
        <v>81983715129</v>
      </c>
      <c r="C91" t="str">
        <f>"EVERYDAY COUNTER-RELATIVE BD AUNT PKG/6-J2738"</f>
        <v>EVERYDAY COUNTER-RELATIVE BD AUNT PKG/6-J2738</v>
      </c>
      <c r="D91" s="3" t="str">
        <f>"J2738"</f>
        <v>J2738</v>
      </c>
      <c r="E91" s="3" t="str">
        <f>"ED28A088"</f>
        <v>ED28A088</v>
      </c>
    </row>
    <row r="92" spans="1:5" x14ac:dyDescent="0.25">
      <c r="A92" s="3" t="str">
        <f>"308318"</f>
        <v>308318</v>
      </c>
      <c r="B92" s="4" t="str">
        <f>"81983685620"</f>
        <v>81983685620</v>
      </c>
      <c r="C92" t="str">
        <f>"EVERYDAY COUNTER-BIRTHDAY FOR HIM PKG/6-J0348"</f>
        <v>EVERYDAY COUNTER-BIRTHDAY FOR HIM PKG/6-J0348</v>
      </c>
      <c r="D92" s="3" t="str">
        <f>"J0348"</f>
        <v>J0348</v>
      </c>
      <c r="E92" s="3" t="str">
        <f>"ED28A089"</f>
        <v>ED28A089</v>
      </c>
    </row>
    <row r="93" spans="1:5" x14ac:dyDescent="0.25">
      <c r="A93" s="3" t="str">
        <f>"308418"</f>
        <v>308418</v>
      </c>
      <c r="B93" s="4" t="str">
        <f>"81983773853"</f>
        <v>81983773853</v>
      </c>
      <c r="C93" t="str">
        <f>"EVERYDAY COUNTER-RELATIVE BD MOM PKG/6-J2754"</f>
        <v>EVERYDAY COUNTER-RELATIVE BD MOM PKG/6-J2754</v>
      </c>
      <c r="D93" s="3" t="str">
        <f>"J2754"</f>
        <v>J2754</v>
      </c>
      <c r="E93" s="3" t="str">
        <f>"ED28A090"</f>
        <v>ED28A090</v>
      </c>
    </row>
    <row r="94" spans="1:5" x14ac:dyDescent="0.25">
      <c r="A94" s="3" t="str">
        <f>"298761"</f>
        <v>298761</v>
      </c>
      <c r="B94" s="4" t="str">
        <f>"81983773594"</f>
        <v>81983773594</v>
      </c>
      <c r="C94" t="str">
        <f>"EVERYDAY COUNTER-RELATIVE BDAY-DAUGHTER-11770"</f>
        <v>EVERYDAY COUNTER-RELATIVE BDAY-DAUGHTER-11770</v>
      </c>
      <c r="D94" s="3" t="str">
        <f>"11770"</f>
        <v>11770</v>
      </c>
      <c r="E94" s="3" t="str">
        <f>"ED28A091"</f>
        <v>ED28A091</v>
      </c>
    </row>
    <row r="95" spans="1:5" x14ac:dyDescent="0.25">
      <c r="A95" s="3" t="str">
        <f>"349458"</f>
        <v>349458</v>
      </c>
      <c r="B95" s="4" t="str">
        <f>"81983778056"</f>
        <v>81983778056</v>
      </c>
      <c r="C95" t="str">
        <f>"EVERYDAY COUNTER-RELATIVE BIRTHDAY PKG/6-U0426"</f>
        <v>EVERYDAY COUNTER-RELATIVE BIRTHDAY PKG/6-U0426</v>
      </c>
      <c r="D95" s="3" t="str">
        <f>"U0426"</f>
        <v>U0426</v>
      </c>
      <c r="E95" s="3" t="str">
        <f>"ED28A092"</f>
        <v>ED28A092</v>
      </c>
    </row>
    <row r="96" spans="1:5" x14ac:dyDescent="0.25">
      <c r="A96" s="3" t="str">
        <f>"279755"</f>
        <v>279755</v>
      </c>
      <c r="B96" s="4" t="str">
        <f>"81983773990"</f>
        <v>81983773990</v>
      </c>
      <c r="C96" t="str">
        <f>"EVERYDAY COUNTER-RELATIVE BD SISTER PKG/6"</f>
        <v>EVERYDAY COUNTER-RELATIVE BD SISTER PKG/6</v>
      </c>
      <c r="D96" s="3" t="str">
        <f>"J9043"</f>
        <v>J9043</v>
      </c>
      <c r="E96" s="3" t="str">
        <f>"ED28A093"</f>
        <v>ED28A093</v>
      </c>
    </row>
    <row r="97" spans="1:5" x14ac:dyDescent="0.25">
      <c r="A97" s="3" t="str">
        <f>"279760"</f>
        <v>279760</v>
      </c>
      <c r="B97" s="4" t="str">
        <f>"81983764356"</f>
        <v>81983764356</v>
      </c>
      <c r="C97" t="str">
        <f>"EVERYDAY COUNTER-RELATIVE BD SISTER IN LAW PKG/6-J9046"</f>
        <v>EVERYDAY COUNTER-RELATIVE BD SISTER IN LAW PKG/6-J9046</v>
      </c>
      <c r="D97" s="3" t="str">
        <f>"J9046"</f>
        <v>J9046</v>
      </c>
      <c r="E97" s="3" t="str">
        <f>"ED28A094"</f>
        <v>ED28A094</v>
      </c>
    </row>
    <row r="98" spans="1:5" x14ac:dyDescent="0.25">
      <c r="A98" s="3" t="str">
        <f>"308303"</f>
        <v>308303</v>
      </c>
      <c r="B98" s="4" t="str">
        <f>"81983773648"</f>
        <v>81983773648</v>
      </c>
      <c r="C98" t="str">
        <f>"EVERYDAY COUNTER-BIRTHDAY GRANDDAUGHTER PKG/6-J0333"</f>
        <v>EVERYDAY COUNTER-BIRTHDAY GRANDDAUGHTER PKG/6-J0333</v>
      </c>
      <c r="D98" s="3" t="str">
        <f>"J0333"</f>
        <v>J0333</v>
      </c>
      <c r="E98" s="3" t="str">
        <f>"ED28A095"</f>
        <v>ED28A095</v>
      </c>
    </row>
    <row r="99" spans="1:5" x14ac:dyDescent="0.25">
      <c r="A99" s="3" t="str">
        <f>"279520"</f>
        <v>279520</v>
      </c>
      <c r="B99" s="4" t="str">
        <f>"81983738777"</f>
        <v>81983738777</v>
      </c>
      <c r="C99" t="str">
        <f>"EVERYDAY COUNTER-REL BD NIECE TEEN PKG/6-J5544"</f>
        <v>EVERYDAY COUNTER-REL BD NIECE TEEN PKG/6-J5544</v>
      </c>
      <c r="D99" s="3" t="str">
        <f>"J5544"</f>
        <v>J5544</v>
      </c>
      <c r="E99" s="3" t="str">
        <f>"ED28A096"</f>
        <v>ED28A096</v>
      </c>
    </row>
    <row r="100" spans="1:5" x14ac:dyDescent="0.25">
      <c r="A100" s="3" t="str">
        <f>"279481"</f>
        <v>279481</v>
      </c>
      <c r="B100" s="4" t="str">
        <f>"81983773532"</f>
        <v>81983773532</v>
      </c>
      <c r="C100" t="str">
        <f>"EVERYDAY COUNTER-REL BD AUNT FROM CHILD PKG/6-J5514"</f>
        <v>EVERYDAY COUNTER-REL BD AUNT FROM CHILD PKG/6-J5514</v>
      </c>
      <c r="D100" s="3" t="str">
        <f>"J5514"</f>
        <v>J5514</v>
      </c>
      <c r="E100" s="3" t="str">
        <f>"ED28A097"</f>
        <v>ED28A097</v>
      </c>
    </row>
    <row r="101" spans="1:5" x14ac:dyDescent="0.25">
      <c r="A101" s="3" t="str">
        <f>"308314"</f>
        <v>308314</v>
      </c>
      <c r="B101" s="4" t="str">
        <f>"81983685590"</f>
        <v>81983685590</v>
      </c>
      <c r="C101" t="str">
        <f>"EVERYDAY COUNTER-BIRTHDAY NEPHEW PKG/6-J0345"</f>
        <v>EVERYDAY COUNTER-BIRTHDAY NEPHEW PKG/6-J0345</v>
      </c>
      <c r="D101" s="3" t="str">
        <f>"J0345"</f>
        <v>J0345</v>
      </c>
      <c r="E101" s="3" t="str">
        <f>"ED28A098"</f>
        <v>ED28A098</v>
      </c>
    </row>
    <row r="102" spans="1:5" x14ac:dyDescent="0.25">
      <c r="A102" s="3" t="str">
        <f>"279515"</f>
        <v>279515</v>
      </c>
      <c r="B102" s="4" t="str">
        <f>"81983738722"</f>
        <v>81983738722</v>
      </c>
      <c r="C102" t="str">
        <f>"EVERYDAY COUNTER-REL BD  MOTHER-IN-LAW PKG/6-J5539"</f>
        <v>EVERYDAY COUNTER-REL BD  MOTHER-IN-LAW PKG/6-J5539</v>
      </c>
      <c r="D102" s="3" t="str">
        <f>"J5539"</f>
        <v>J5539</v>
      </c>
      <c r="E102" s="3" t="str">
        <f>"ED28A099"</f>
        <v>ED28A099</v>
      </c>
    </row>
    <row r="103" spans="1:5" x14ac:dyDescent="0.25">
      <c r="A103" s="3" t="str">
        <f>"279732"</f>
        <v>279732</v>
      </c>
      <c r="B103" s="4" t="str">
        <f>"81983764110"</f>
        <v>81983764110</v>
      </c>
      <c r="C103" t="str">
        <f>"EVERYDAY COUNTER-RELATIVE BD DAUGHTER JUVENILE PKG/6-J9022"</f>
        <v>EVERYDAY COUNTER-RELATIVE BD DAUGHTER JUVENILE PKG/6-J9022</v>
      </c>
      <c r="D103" s="3" t="str">
        <f>"J9022"</f>
        <v>J9022</v>
      </c>
      <c r="E103" s="3" t="str">
        <f>"ED28A100"</f>
        <v>ED28A100</v>
      </c>
    </row>
    <row r="104" spans="1:5" x14ac:dyDescent="0.25">
      <c r="A104" s="3" t="str">
        <f>"349453"</f>
        <v>349453</v>
      </c>
      <c r="B104" s="4" t="str">
        <f>"81983778049"</f>
        <v>81983778049</v>
      </c>
      <c r="C104" t="str">
        <f>"EVERYDAY COUNTER-RELATIVE BIRTHDAY PKG/6-U0425"</f>
        <v>EVERYDAY COUNTER-RELATIVE BIRTHDAY PKG/6-U0425</v>
      </c>
      <c r="D104" s="3" t="str">
        <f>"U0425"</f>
        <v>U0425</v>
      </c>
      <c r="E104" s="3" t="str">
        <f>"ED28A101"</f>
        <v>ED28A101</v>
      </c>
    </row>
    <row r="105" spans="1:5" x14ac:dyDescent="0.25">
      <c r="A105" s="3" t="str">
        <f>"279731"</f>
        <v>279731</v>
      </c>
      <c r="B105" s="4" t="str">
        <f>"81983764103"</f>
        <v>81983764103</v>
      </c>
      <c r="C105" t="str">
        <f>"EVERYDAY COUNTER-RELATIVE BD DAUGHT IN LAW PKG/6-J9021"</f>
        <v>EVERYDAY COUNTER-RELATIVE BD DAUGHT IN LAW PKG/6-J9021</v>
      </c>
      <c r="D105" s="3" t="str">
        <f>"J9021"</f>
        <v>J9021</v>
      </c>
      <c r="E105" s="3" t="str">
        <f>"ED28A102"</f>
        <v>ED28A102</v>
      </c>
    </row>
    <row r="106" spans="1:5" x14ac:dyDescent="0.25">
      <c r="A106" s="3" t="str">
        <f>"349510"</f>
        <v>349510</v>
      </c>
      <c r="B106" s="4" t="str">
        <f>"81983778247"</f>
        <v>81983778247</v>
      </c>
      <c r="C106" t="str">
        <f>"EVERYDAY COUNTER-RELATIVE BIRTHDAY PKG/6-U0445"</f>
        <v>EVERYDAY COUNTER-RELATIVE BIRTHDAY PKG/6-U0445</v>
      </c>
      <c r="D106" s="3" t="str">
        <f>"U0445"</f>
        <v>U0445</v>
      </c>
      <c r="E106" s="3" t="str">
        <f>"ED28A103"</f>
        <v>ED28A103</v>
      </c>
    </row>
    <row r="107" spans="1:5" x14ac:dyDescent="0.25">
      <c r="A107" s="3" t="str">
        <f>"279738"</f>
        <v>279738</v>
      </c>
      <c r="B107" s="4" t="str">
        <f>"81983764172"</f>
        <v>81983764172</v>
      </c>
      <c r="C107" t="str">
        <f>"EVERYDAY COUNTER-RELATIVE BD GRANDDAUGHTER JUVE PKG/6-J9028"</f>
        <v>EVERYDAY COUNTER-RELATIVE BD GRANDDAUGHTER JUVE PKG/6-J9028</v>
      </c>
      <c r="D107" s="3" t="str">
        <f>"J9028"</f>
        <v>J9028</v>
      </c>
      <c r="E107" s="3" t="str">
        <f>"ED28A104"</f>
        <v>ED28A104</v>
      </c>
    </row>
    <row r="108" spans="1:5" x14ac:dyDescent="0.25">
      <c r="A108" s="3" t="str">
        <f>"307957"</f>
        <v>307957</v>
      </c>
      <c r="B108" s="4" t="str">
        <f>"81983618345"</f>
        <v>81983618345</v>
      </c>
      <c r="C108" t="str">
        <f>"EVERYDAY COUNTER-REL BDAY-NIECE-52578"</f>
        <v>EVERYDAY COUNTER-REL BDAY-NIECE-52578</v>
      </c>
      <c r="D108" s="3" t="str">
        <f>"52578"</f>
        <v>52578</v>
      </c>
      <c r="E108" s="3" t="str">
        <f>"ED28A105"</f>
        <v>ED28A105</v>
      </c>
    </row>
    <row r="109" spans="1:5" x14ac:dyDescent="0.25">
      <c r="A109" s="3" t="str">
        <f>"349506"</f>
        <v>349506</v>
      </c>
      <c r="B109" s="4" t="str">
        <f>"81983778179"</f>
        <v>81983778179</v>
      </c>
      <c r="C109" t="str">
        <f>"EVERYDAY COUNTER-RELATIVE BIRTHDAY PKG/6-U0438"</f>
        <v>EVERYDAY COUNTER-RELATIVE BIRTHDAY PKG/6-U0438</v>
      </c>
      <c r="D109" s="3" t="str">
        <f>"U0438"</f>
        <v>U0438</v>
      </c>
      <c r="E109" s="3" t="str">
        <f>"ED28A106"</f>
        <v>ED28A106</v>
      </c>
    </row>
    <row r="110" spans="1:5" x14ac:dyDescent="0.25">
      <c r="A110" s="3" t="str">
        <f>"279518"</f>
        <v>279518</v>
      </c>
      <c r="B110" s="4" t="str">
        <f>"81983738753"</f>
        <v>81983738753</v>
      </c>
      <c r="C110" t="str">
        <f>"EVERYDAY COUNTER-REL BD NEPHEW JUV PKG/6-J5542"</f>
        <v>EVERYDAY COUNTER-REL BD NEPHEW JUV PKG/6-J5542</v>
      </c>
      <c r="D110" s="3" t="str">
        <f>"J5542"</f>
        <v>J5542</v>
      </c>
      <c r="E110" s="3" t="str">
        <f>"ED28A107"</f>
        <v>ED28A107</v>
      </c>
    </row>
    <row r="111" spans="1:5" x14ac:dyDescent="0.25">
      <c r="A111" s="3" t="str">
        <f>"279511"</f>
        <v>279511</v>
      </c>
      <c r="B111" s="4" t="str">
        <f>"81983738692"</f>
        <v>81983738692</v>
      </c>
      <c r="C111" t="str">
        <f>"EVERYDAY COUNTER-REL BD MOMMY PKG/6-J5536"</f>
        <v>EVERYDAY COUNTER-REL BD MOMMY PKG/6-J5536</v>
      </c>
      <c r="D111" s="3" t="str">
        <f>"J5536"</f>
        <v>J5536</v>
      </c>
      <c r="E111" s="3" t="str">
        <f>"ED28A108"</f>
        <v>ED28A108</v>
      </c>
    </row>
    <row r="112" spans="1:5" x14ac:dyDescent="0.25">
      <c r="A112" s="3" t="str">
        <f>"349489"</f>
        <v>349489</v>
      </c>
      <c r="B112" s="4" t="str">
        <f>"81983778155"</f>
        <v>81983778155</v>
      </c>
      <c r="C112" t="str">
        <f>"EVERYDAY COUNTER-RELATIVE BIRTHDAY PKG/6-U0436"</f>
        <v>EVERYDAY COUNTER-RELATIVE BIRTHDAY PKG/6-U0436</v>
      </c>
      <c r="D112" s="3" t="str">
        <f>"U0436"</f>
        <v>U0436</v>
      </c>
      <c r="E112" s="3" t="str">
        <f>"ED28A109"</f>
        <v>ED28A109</v>
      </c>
    </row>
    <row r="113" spans="1:5" x14ac:dyDescent="0.25">
      <c r="A113" s="3" t="str">
        <f>"308298"</f>
        <v>308298</v>
      </c>
      <c r="B113" s="4" t="str">
        <f>"81983685408"</f>
        <v>81983685408</v>
      </c>
      <c r="C113" t="str">
        <f>"EVERYDAY COUNTER-BIRTHDAY DAUGHTER-IN-LAW PKG/6-J0326"</f>
        <v>EVERYDAY COUNTER-BIRTHDAY DAUGHTER-IN-LAW PKG/6-J0326</v>
      </c>
      <c r="D113" s="3" t="str">
        <f>"J0326"</f>
        <v>J0326</v>
      </c>
      <c r="E113" s="3" t="str">
        <f>"ED28A110"</f>
        <v>ED28A110</v>
      </c>
    </row>
    <row r="114" spans="1:5" x14ac:dyDescent="0.25">
      <c r="A114" s="3" t="str">
        <f>"298676"</f>
        <v>298676</v>
      </c>
      <c r="B114" s="4" t="str">
        <f>"81983651908"</f>
        <v>81983651908</v>
      </c>
      <c r="C114" t="str">
        <f>"EVERYDAY COUNTER-BDAY DAUGHTER-IN_LAW PKG/6-10244"</f>
        <v>EVERYDAY COUNTER-BDAY DAUGHTER-IN_LAW PKG/6-10244</v>
      </c>
      <c r="D114" s="3" t="str">
        <f>"10244"</f>
        <v>10244</v>
      </c>
      <c r="E114" s="3" t="str">
        <f>"ED28A111"</f>
        <v>ED28A111</v>
      </c>
    </row>
    <row r="115" spans="1:5" x14ac:dyDescent="0.25">
      <c r="A115" s="3" t="str">
        <f>"308031"</f>
        <v>308031</v>
      </c>
      <c r="B115" s="4" t="str">
        <f>"81983589317"</f>
        <v>81983589317</v>
      </c>
      <c r="C115" t="str">
        <f>"EVERYDAY COUNTER-GREAT GRANDDAUGHTER (JUV) BIRTHDAY-66684"</f>
        <v>EVERYDAY COUNTER-GREAT GRANDDAUGHTER (JUV) BIRTHDAY-66684</v>
      </c>
      <c r="D115" s="3" t="str">
        <f>"66684"</f>
        <v>66684</v>
      </c>
      <c r="E115" s="3" t="str">
        <f>"ED28A112"</f>
        <v>ED28A112</v>
      </c>
    </row>
    <row r="116" spans="1:5" x14ac:dyDescent="0.25">
      <c r="A116" s="3" t="str">
        <f>"308189"</f>
        <v>308189</v>
      </c>
      <c r="B116" s="4" t="str">
        <f>"81983583803"</f>
        <v>81983583803</v>
      </c>
      <c r="C116" t="str">
        <f>"EVERYDAY COUNTER-FOR A SPECIAL GRANDDAUGHTER-88746"</f>
        <v>EVERYDAY COUNTER-FOR A SPECIAL GRANDDAUGHTER-88746</v>
      </c>
      <c r="D116" s="3" t="str">
        <f>"88746"</f>
        <v>88746</v>
      </c>
      <c r="E116" s="3" t="str">
        <f>"ED28A113"</f>
        <v>ED28A113</v>
      </c>
    </row>
    <row r="117" spans="1:5" x14ac:dyDescent="0.25">
      <c r="A117" s="3" t="str">
        <f>"349505"</f>
        <v>349505</v>
      </c>
      <c r="B117" s="4" t="str">
        <f>"81983778186"</f>
        <v>81983778186</v>
      </c>
      <c r="C117" t="str">
        <f>"EVERYDAY COUNTER-RELATIVE BIRTHDAY PKG/6-U0439"</f>
        <v>EVERYDAY COUNTER-RELATIVE BIRTHDAY PKG/6-U0439</v>
      </c>
      <c r="D117" s="3" t="str">
        <f>"U0439"</f>
        <v>U0439</v>
      </c>
      <c r="E117" s="3" t="str">
        <f>"ED28A114"</f>
        <v>ED28A114</v>
      </c>
    </row>
    <row r="118" spans="1:5" x14ac:dyDescent="0.25">
      <c r="A118" s="3" t="str">
        <f>"279752"</f>
        <v>279752</v>
      </c>
      <c r="B118" s="4" t="str">
        <f>"81983764295"</f>
        <v>81983764295</v>
      </c>
      <c r="C118" t="str">
        <f>"EVERYDAY COUNTER-RELATIVE BD NIECE ADULT PKG/6-J9040"</f>
        <v>EVERYDAY COUNTER-RELATIVE BD NIECE ADULT PKG/6-J9040</v>
      </c>
      <c r="D118" s="3" t="str">
        <f>"J9040"</f>
        <v>J9040</v>
      </c>
      <c r="E118" s="3" t="str">
        <f>"ED28A115"</f>
        <v>ED28A115</v>
      </c>
    </row>
    <row r="119" spans="1:5" x14ac:dyDescent="0.25">
      <c r="A119" s="3" t="str">
        <f>"279519"</f>
        <v>279519</v>
      </c>
      <c r="B119" s="4" t="str">
        <f>"81983738760"</f>
        <v>81983738760</v>
      </c>
      <c r="C119" t="str">
        <f>"EVERYDAY COUNTER-REL BD NEPHEW JUV PKG/6-J5543"</f>
        <v>EVERYDAY COUNTER-REL BD NEPHEW JUV PKG/6-J5543</v>
      </c>
      <c r="D119" s="3" t="str">
        <f>"J5543"</f>
        <v>J5543</v>
      </c>
      <c r="E119" s="3" t="str">
        <f>"ED28A116"</f>
        <v>ED28A116</v>
      </c>
    </row>
    <row r="120" spans="1:5" x14ac:dyDescent="0.25">
      <c r="A120" s="3" t="str">
        <f>"308033"</f>
        <v>308033</v>
      </c>
      <c r="B120" s="4" t="str">
        <f>"81983773792"</f>
        <v>81983773792</v>
      </c>
      <c r="C120" t="str">
        <f>"EVERYDAY COUNTER-HUSBAND BIRTHDAY-66686"</f>
        <v>EVERYDAY COUNTER-HUSBAND BIRTHDAY-66686</v>
      </c>
      <c r="D120" s="3" t="str">
        <f>"66686"</f>
        <v>66686</v>
      </c>
      <c r="E120" s="3" t="str">
        <f>"ED28B001"</f>
        <v>ED28B001</v>
      </c>
    </row>
    <row r="121" spans="1:5" x14ac:dyDescent="0.25">
      <c r="A121" s="3" t="str">
        <f>"279489"</f>
        <v>279489</v>
      </c>
      <c r="B121" s="4" t="str">
        <f>"81983738548"</f>
        <v>81983738548</v>
      </c>
      <c r="C121" t="str">
        <f>"EVERYDAY COUNTER-REL BIRTHDAY DAD PKG/6-J5521"</f>
        <v>EVERYDAY COUNTER-REL BIRTHDAY DAD PKG/6-J5521</v>
      </c>
      <c r="D121" s="3" t="str">
        <f>"J5521"</f>
        <v>J5521</v>
      </c>
      <c r="E121" s="3" t="str">
        <f>"ED28B002"</f>
        <v>ED28B002</v>
      </c>
    </row>
    <row r="122" spans="1:5" x14ac:dyDescent="0.25">
      <c r="A122" s="3" t="str">
        <f>"298784"</f>
        <v>298784</v>
      </c>
      <c r="B122" s="4" t="str">
        <f>"81983678394"</f>
        <v>81983678394</v>
      </c>
      <c r="C122" t="str">
        <f>"EVERYDAY COUNTER-SON BIRTHDAY-27076"</f>
        <v>EVERYDAY COUNTER-SON BIRTHDAY-27076</v>
      </c>
      <c r="D122" s="3" t="str">
        <f>"27076"</f>
        <v>27076</v>
      </c>
      <c r="E122" s="3" t="str">
        <f>"ED28B003"</f>
        <v>ED28B003</v>
      </c>
    </row>
    <row r="123" spans="1:5" x14ac:dyDescent="0.25">
      <c r="A123" s="3" t="str">
        <f>"380078"</f>
        <v>380078</v>
      </c>
      <c r="B123" s="4" t="str">
        <f>"81983778353"</f>
        <v>81983778353</v>
      </c>
      <c r="C123" t="str">
        <f>"EVERYDAY COUNTER-BIRTHDAY FOR HIM PREMIUM (PACK OF 2)-U0466"</f>
        <v>EVERYDAY COUNTER-BIRTHDAY FOR HIM PREMIUM (PACK OF 2)-U0466</v>
      </c>
      <c r="D123" s="3" t="str">
        <f>"U0466"</f>
        <v>U0466</v>
      </c>
      <c r="E123" s="3" t="str">
        <f>"ED28B004"</f>
        <v>ED28B004</v>
      </c>
    </row>
    <row r="124" spans="1:5" x14ac:dyDescent="0.25">
      <c r="A124" s="3" t="str">
        <f>"349547"</f>
        <v>349547</v>
      </c>
      <c r="B124" s="4" t="str">
        <f>"81983778360"</f>
        <v>81983778360</v>
      </c>
      <c r="C124" t="str">
        <f>"EVERYDAY COUNTER-BIRTHDAY FOR HIM PKG/2"</f>
        <v>EVERYDAY COUNTER-BIRTHDAY FOR HIM PKG/2</v>
      </c>
      <c r="D124" s="3" t="str">
        <f>"U0467"</f>
        <v>U0467</v>
      </c>
      <c r="E124" s="3" t="str">
        <f>"ED28B005"</f>
        <v>ED28B005</v>
      </c>
    </row>
    <row r="125" spans="1:5" x14ac:dyDescent="0.25">
      <c r="A125" s="3" t="str">
        <f>"308396"</f>
        <v>308396</v>
      </c>
      <c r="B125" s="4" t="str">
        <f>"81983715020"</f>
        <v>81983715020</v>
      </c>
      <c r="C125" t="str">
        <f>"EVERYDAY COUNTER-BD -MASCULINE PKG/6-J2728"</f>
        <v>EVERYDAY COUNTER-BD -MASCULINE PKG/6-J2728</v>
      </c>
      <c r="D125" s="3" t="str">
        <f>"J2728"</f>
        <v>J2728</v>
      </c>
      <c r="E125" s="3" t="str">
        <f>"ED28B006"</f>
        <v>ED28B006</v>
      </c>
    </row>
    <row r="126" spans="1:5" x14ac:dyDescent="0.25">
      <c r="A126" s="3" t="str">
        <f>"349485"</f>
        <v>349485</v>
      </c>
      <c r="B126" s="4" t="str">
        <f>"81983777868"</f>
        <v>81983777868</v>
      </c>
      <c r="C126" t="str">
        <f>"EVERYDAY COUNTER-BIRTHDAY PKG/6-U0407"</f>
        <v>EVERYDAY COUNTER-BIRTHDAY PKG/6-U0407</v>
      </c>
      <c r="D126" s="3" t="str">
        <f>"U0407"</f>
        <v>U0407</v>
      </c>
      <c r="E126" s="3" t="str">
        <f>"ED28B007"</f>
        <v>ED28B007</v>
      </c>
    </row>
    <row r="127" spans="1:5" x14ac:dyDescent="0.25">
      <c r="A127" s="3" t="str">
        <f>"279689"</f>
        <v>279689</v>
      </c>
      <c r="B127" s="4" t="str">
        <f>"81983763809"</f>
        <v>81983763809</v>
      </c>
      <c r="C127" t="str">
        <f>"EVERYDAY COUNTER-BIRTHDAY GENERAL FOR ANYONE PKG/6-J8991"</f>
        <v>EVERYDAY COUNTER-BIRTHDAY GENERAL FOR ANYONE PKG/6-J8991</v>
      </c>
      <c r="D127" s="3" t="s">
        <v>9</v>
      </c>
      <c r="E127" s="3" t="str">
        <f>"ED28B008"</f>
        <v>ED28B008</v>
      </c>
    </row>
    <row r="128" spans="1:5" x14ac:dyDescent="0.25">
      <c r="A128" s="3" t="str">
        <f>"279740"</f>
        <v>279740</v>
      </c>
      <c r="B128" s="4" t="str">
        <f>"81983773785"</f>
        <v>81983773785</v>
      </c>
      <c r="C128" t="str">
        <f>"EVERYDAY COUNTER-RELATIVE BD HUSBAND PKG/6-J9030"</f>
        <v>EVERYDAY COUNTER-RELATIVE BD HUSBAND PKG/6-J9030</v>
      </c>
      <c r="D128" s="3" t="s">
        <v>10</v>
      </c>
      <c r="E128" s="3" t="str">
        <f>"ED28B009"</f>
        <v>ED28B009</v>
      </c>
    </row>
    <row r="129" spans="1:5" x14ac:dyDescent="0.25">
      <c r="A129" s="3" t="str">
        <f>"279734"</f>
        <v>279734</v>
      </c>
      <c r="B129" s="4" t="str">
        <f>"81983764134"</f>
        <v>81983764134</v>
      </c>
      <c r="C129" t="str">
        <f>"EVERYDAY COUNTER-RELATIVE BD DAD PKG/6-J9024"</f>
        <v>EVERYDAY COUNTER-RELATIVE BD DAD PKG/6-J9024</v>
      </c>
      <c r="D129" s="3" t="s">
        <v>11</v>
      </c>
      <c r="E129" s="3" t="str">
        <f>"ED28B010"</f>
        <v>ED28B010</v>
      </c>
    </row>
    <row r="130" spans="1:5" x14ac:dyDescent="0.25">
      <c r="A130" s="3" t="str">
        <f>"349516"</f>
        <v>349516</v>
      </c>
      <c r="B130" s="4" t="str">
        <f>"81983778285"</f>
        <v>81983778285</v>
      </c>
      <c r="C130" t="str">
        <f>"EVERYDAY COUNTER-RELATIVE BIRTHDAY PKG/6-U0449"</f>
        <v>EVERYDAY COUNTER-RELATIVE BIRTHDAY PKG/6-U0449</v>
      </c>
      <c r="D130" s="3" t="str">
        <f>"U0449"</f>
        <v>U0449</v>
      </c>
      <c r="E130" s="3" t="str">
        <f>"ED28B011"</f>
        <v>ED28B011</v>
      </c>
    </row>
    <row r="131" spans="1:5" x14ac:dyDescent="0.25">
      <c r="A131" s="3" t="str">
        <f>"349538"</f>
        <v>349538</v>
      </c>
      <c r="B131" s="4" t="str">
        <f>"81983778537"</f>
        <v>81983778537</v>
      </c>
      <c r="C131" t="str">
        <f>"EVERYDAY COUNTER-BIRTHDAY PKG/6-U0484"</f>
        <v>EVERYDAY COUNTER-BIRTHDAY PKG/6-U0484</v>
      </c>
      <c r="D131" s="3" t="str">
        <f>"U0484"</f>
        <v>U0484</v>
      </c>
      <c r="E131" s="3" t="str">
        <f>"ED28B012"</f>
        <v>ED28B012</v>
      </c>
    </row>
    <row r="132" spans="1:5" x14ac:dyDescent="0.25">
      <c r="A132" s="3" t="str">
        <f>"349536"</f>
        <v>349536</v>
      </c>
      <c r="B132" s="4" t="str">
        <f>"81983778544"</f>
        <v>81983778544</v>
      </c>
      <c r="C132" t="str">
        <f>"EVERYDAY COUNTER-BIRTHDAY PKG/6-U0485"</f>
        <v>EVERYDAY COUNTER-BIRTHDAY PKG/6-U0485</v>
      </c>
      <c r="D132" s="3" t="str">
        <f>"U0485"</f>
        <v>U0485</v>
      </c>
      <c r="E132" s="3" t="str">
        <f>"ED28B013"</f>
        <v>ED28B013</v>
      </c>
    </row>
    <row r="133" spans="1:5" x14ac:dyDescent="0.25">
      <c r="A133" s="3" t="str">
        <f>"298749"</f>
        <v>298749</v>
      </c>
      <c r="B133" s="4" t="str">
        <f>"81983593499"</f>
        <v>81983593499</v>
      </c>
      <c r="C133" t="str">
        <f>"EVERYDAY COUNTER-BIRTHDAY-MASCULINE-11746"</f>
        <v>EVERYDAY COUNTER-BIRTHDAY-MASCULINE-11746</v>
      </c>
      <c r="D133" s="3" t="str">
        <f>"11746"</f>
        <v>11746</v>
      </c>
      <c r="E133" s="3" t="str">
        <f>"ED28B014"</f>
        <v>ED28B014</v>
      </c>
    </row>
    <row r="134" spans="1:5" x14ac:dyDescent="0.25">
      <c r="A134" s="3" t="str">
        <f>"308386"</f>
        <v>308386</v>
      </c>
      <c r="B134" s="4" t="str">
        <f>"81983714948"</f>
        <v>81983714948</v>
      </c>
      <c r="C134" t="str">
        <f>"EVERYDAY COUNTER-BIRTHDAY GENERAL FOR ANYONE PKG/6-J2720"</f>
        <v>EVERYDAY COUNTER-BIRTHDAY GENERAL FOR ANYONE PKG/6-J2720</v>
      </c>
      <c r="D134" s="3" t="str">
        <f>"J2720"</f>
        <v>J2720</v>
      </c>
      <c r="E134" s="3" t="str">
        <f>"ED28B015"</f>
        <v>ED28B015</v>
      </c>
    </row>
    <row r="135" spans="1:5" x14ac:dyDescent="0.25">
      <c r="A135" s="3" t="str">
        <f>"308288"</f>
        <v>308288</v>
      </c>
      <c r="B135" s="4" t="str">
        <f>"81983773167"</f>
        <v>81983773167</v>
      </c>
      <c r="C135" t="str">
        <f>"EVERYDAY COUNTER-BIRTHDAY FOR ANYONE MED PKG/6-J0314"</f>
        <v>EVERYDAY COUNTER-BIRTHDAY FOR ANYONE MED PKG/6-J0314</v>
      </c>
      <c r="D135" s="3" t="str">
        <f>"J0314"</f>
        <v>J0314</v>
      </c>
      <c r="E135" s="3" t="str">
        <f>"ED28B016"</f>
        <v>ED28B016</v>
      </c>
    </row>
    <row r="136" spans="1:5" x14ac:dyDescent="0.25">
      <c r="A136" s="3" t="str">
        <f>"279742"</f>
        <v>279742</v>
      </c>
      <c r="B136" s="4" t="str">
        <f>"81983764202"</f>
        <v>81983764202</v>
      </c>
      <c r="C136" t="str">
        <f>"EVERYDAY COUNTER-RELATIVE BD HUSBAND PKG/6-J9031"</f>
        <v>EVERYDAY COUNTER-RELATIVE BD HUSBAND PKG/6-J9031</v>
      </c>
      <c r="D136" s="3" t="str">
        <f>"J9031"</f>
        <v>J9031</v>
      </c>
      <c r="E136" s="3" t="str">
        <f>"ED28B017"</f>
        <v>ED28B017</v>
      </c>
    </row>
    <row r="137" spans="1:5" x14ac:dyDescent="0.25">
      <c r="A137" s="3" t="str">
        <f>"298715"</f>
        <v>298715</v>
      </c>
      <c r="B137" s="4" t="str">
        <f>"81983773617"</f>
        <v>81983773617</v>
      </c>
      <c r="C137" t="str">
        <f>"EVERYDAY COUNTER-BIRTHDAY DAD PKG/6-10300"</f>
        <v>EVERYDAY COUNTER-BIRTHDAY DAD PKG/6-10300</v>
      </c>
      <c r="D137" s="3" t="str">
        <f>"10300"</f>
        <v>10300</v>
      </c>
      <c r="E137" s="3" t="str">
        <f>"ED28B018"</f>
        <v>ED28B018</v>
      </c>
    </row>
    <row r="138" spans="1:5" x14ac:dyDescent="0.25">
      <c r="A138" s="3" t="str">
        <f>"349514"</f>
        <v>349514</v>
      </c>
      <c r="B138" s="4" t="str">
        <f>"81983778278"</f>
        <v>81983778278</v>
      </c>
      <c r="C138" t="str">
        <f>"EVERYDAY COUNTER-RELATIVE BIRTHDAY PKG/6-U0448"</f>
        <v>EVERYDAY COUNTER-RELATIVE BIRTHDAY PKG/6-U0448</v>
      </c>
      <c r="D138" s="3" t="str">
        <f>"U0448"</f>
        <v>U0448</v>
      </c>
      <c r="E138" s="3" t="str">
        <f>"ED28B019"</f>
        <v>ED28B019</v>
      </c>
    </row>
    <row r="139" spans="1:5" x14ac:dyDescent="0.25">
      <c r="A139" s="3" t="str">
        <f>"349535"</f>
        <v>349535</v>
      </c>
      <c r="B139" s="4" t="str">
        <f>"81983778551"</f>
        <v>81983778551</v>
      </c>
      <c r="C139" t="str">
        <f>"EVERYDAY COUNTER-BIRTHDAY PKG/6-U0486"</f>
        <v>EVERYDAY COUNTER-BIRTHDAY PKG/6-U0486</v>
      </c>
      <c r="D139" s="3" t="str">
        <f>"U0486"</f>
        <v>U0486</v>
      </c>
      <c r="E139" s="3" t="str">
        <f>"ED28B020"</f>
        <v>ED28B020</v>
      </c>
    </row>
    <row r="140" spans="1:5" x14ac:dyDescent="0.25">
      <c r="A140" s="3" t="str">
        <f>"349537"</f>
        <v>349537</v>
      </c>
      <c r="B140" s="4" t="str">
        <f>"81983778568"</f>
        <v>81983778568</v>
      </c>
      <c r="C140" t="str">
        <f>"EVERYDAY COUNTER-BIRTHDAY PKG/6-U0487"</f>
        <v>EVERYDAY COUNTER-BIRTHDAY PKG/6-U0487</v>
      </c>
      <c r="D140" s="3" t="str">
        <f>"U0487"</f>
        <v>U0487</v>
      </c>
      <c r="E140" s="3" t="str">
        <f>"ED28B021"</f>
        <v>ED28B021</v>
      </c>
    </row>
    <row r="141" spans="1:5" x14ac:dyDescent="0.25">
      <c r="A141" s="3" t="str">
        <f>"308397"</f>
        <v>308397</v>
      </c>
      <c r="B141" s="4" t="str">
        <f>"81983715037"</f>
        <v>81983715037</v>
      </c>
      <c r="C141" t="str">
        <f>"EVERYDAY COUNTER-BD -MASCULINE PKG/6-J2729"</f>
        <v>EVERYDAY COUNTER-BD -MASCULINE PKG/6-J2729</v>
      </c>
      <c r="D141" s="3" t="s">
        <v>12</v>
      </c>
      <c r="E141" s="3" t="str">
        <f>"ED28B022"</f>
        <v>ED28B022</v>
      </c>
    </row>
    <row r="142" spans="1:5" x14ac:dyDescent="0.25">
      <c r="A142" s="3" t="str">
        <f>"279471"</f>
        <v>279471</v>
      </c>
      <c r="B142" s="4" t="str">
        <f>"81983738418"</f>
        <v>81983738418</v>
      </c>
      <c r="C142" t="str">
        <f>"EVERYDAY COUNTER-BIRTHDAY GEN FOR ANYONE PKG/6-J5508"</f>
        <v>EVERYDAY COUNTER-BIRTHDAY GEN FOR ANYONE PKG/6-J5508</v>
      </c>
      <c r="D142" s="3" t="str">
        <f>"J5508"</f>
        <v>J5508</v>
      </c>
      <c r="E142" s="3" t="str">
        <f>"ED28B023"</f>
        <v>ED28B023</v>
      </c>
    </row>
    <row r="143" spans="1:5" x14ac:dyDescent="0.25">
      <c r="A143" s="3" t="str">
        <f>"308385"</f>
        <v>308385</v>
      </c>
      <c r="B143" s="4" t="str">
        <f>"81983714931"</f>
        <v>81983714931</v>
      </c>
      <c r="C143" t="str">
        <f>"EVERYDAY COUNTER-BIRTHDAY GENERAL FOR ANYONE PKG/6-J2719"</f>
        <v>EVERYDAY COUNTER-BIRTHDAY GENERAL FOR ANYONE PKG/6-J2719</v>
      </c>
      <c r="D143" s="3" t="str">
        <f>"J2719"</f>
        <v>J2719</v>
      </c>
      <c r="E143" s="3" t="str">
        <f>"ED28B024"</f>
        <v>ED28B024</v>
      </c>
    </row>
    <row r="144" spans="1:5" x14ac:dyDescent="0.25">
      <c r="A144" s="3" t="str">
        <f>"298690"</f>
        <v>298690</v>
      </c>
      <c r="B144" s="4" t="str">
        <f>"81983773808"</f>
        <v>81983773808</v>
      </c>
      <c r="C144" t="str">
        <f>"EVERYDAY COUNTER-BIRTHDAY HUSBAND PKG/6-10266"</f>
        <v>EVERYDAY COUNTER-BIRTHDAY HUSBAND PKG/6-10266</v>
      </c>
      <c r="D144" s="3" t="s">
        <v>13</v>
      </c>
      <c r="E144" s="3" t="str">
        <f>"ED28B025"</f>
        <v>ED28B025</v>
      </c>
    </row>
    <row r="145" spans="1:5" x14ac:dyDescent="0.25">
      <c r="A145" s="3" t="str">
        <f>"308300"</f>
        <v>308300</v>
      </c>
      <c r="B145" s="4" t="str">
        <f>"81983685446"</f>
        <v>81983685446</v>
      </c>
      <c r="C145" t="str">
        <f>"EVERYDAY COUNTER-BIRTHDAY DAD PKG/6-J0330"</f>
        <v>EVERYDAY COUNTER-BIRTHDAY DAD PKG/6-J0330</v>
      </c>
      <c r="D145" s="3" t="str">
        <f>"J0330"</f>
        <v>J0330</v>
      </c>
      <c r="E145" s="3" t="str">
        <f>"ED28B026"</f>
        <v>ED28B026</v>
      </c>
    </row>
    <row r="146" spans="1:5" x14ac:dyDescent="0.25">
      <c r="A146" s="3" t="str">
        <f>"279762"</f>
        <v>279762</v>
      </c>
      <c r="B146" s="4" t="str">
        <f>"81983774034"</f>
        <v>81983774034</v>
      </c>
      <c r="C146" t="str">
        <f>"EVERYDAY COUNTER-RELATIVE BD SON PKG/6-J9048"</f>
        <v>EVERYDAY COUNTER-RELATIVE BD SON PKG/6-J9048</v>
      </c>
      <c r="D146" s="3" t="str">
        <f>"J9048"</f>
        <v>J9048</v>
      </c>
      <c r="E146" s="3" t="str">
        <f>"ED28B027"</f>
        <v>ED28B027</v>
      </c>
    </row>
    <row r="147" spans="1:5" x14ac:dyDescent="0.25">
      <c r="A147" s="3" t="str">
        <f>"349539"</f>
        <v>349539</v>
      </c>
      <c r="B147" s="4" t="str">
        <f>"81983778575"</f>
        <v>81983778575</v>
      </c>
      <c r="C147" t="str">
        <f>"EVERYDAY COUNTER-BIRTHDAY PKG/6-U0488"</f>
        <v>EVERYDAY COUNTER-BIRTHDAY PKG/6-U0488</v>
      </c>
      <c r="D147" s="3" t="str">
        <f>"U0488"</f>
        <v>U0488</v>
      </c>
      <c r="E147" s="3" t="str">
        <f>"ED28B028"</f>
        <v>ED28B028</v>
      </c>
    </row>
    <row r="148" spans="1:5" x14ac:dyDescent="0.25">
      <c r="A148" s="3" t="str">
        <f>"349540"</f>
        <v>349540</v>
      </c>
      <c r="B148" s="4" t="str">
        <f>"81983778582"</f>
        <v>81983778582</v>
      </c>
      <c r="C148" t="str">
        <f>"EVERYDAY COUNTER-BIRTHDAY PKG/6-U0489"</f>
        <v>EVERYDAY COUNTER-BIRTHDAY PKG/6-U0489</v>
      </c>
      <c r="D148" s="3" t="str">
        <f>"U0489"</f>
        <v>U0489</v>
      </c>
      <c r="E148" s="3" t="str">
        <f>"ED28B029"</f>
        <v>ED28B029</v>
      </c>
    </row>
    <row r="149" spans="1:5" x14ac:dyDescent="0.25">
      <c r="A149" s="3" t="str">
        <f>"308293"</f>
        <v>308293</v>
      </c>
      <c r="B149" s="4" t="str">
        <f>"81983773181"</f>
        <v>81983773181</v>
      </c>
      <c r="C149" t="str">
        <f>"EVERYDAY COUNTER-BIRTHDAY MASCULINE SMALL PKG/6-J0319"</f>
        <v>EVERYDAY COUNTER-BIRTHDAY MASCULINE SMALL PKG/6-J0319</v>
      </c>
      <c r="D149" s="3" t="str">
        <f>"J0319"</f>
        <v>J0319</v>
      </c>
      <c r="E149" s="3" t="str">
        <f>"ED28B030"</f>
        <v>ED28B030</v>
      </c>
    </row>
    <row r="150" spans="1:5" x14ac:dyDescent="0.25">
      <c r="A150" s="3" t="str">
        <f>"308383"</f>
        <v>308383</v>
      </c>
      <c r="B150" s="4" t="str">
        <f>"81983714924"</f>
        <v>81983714924</v>
      </c>
      <c r="C150" t="str">
        <f>"EVERYDAY COUNTER-BIRTHDAY GENERAL FOR ANYONE PKG/6-J2718"</f>
        <v>EVERYDAY COUNTER-BIRTHDAY GENERAL FOR ANYONE PKG/6-J2718</v>
      </c>
      <c r="D150" s="3" t="str">
        <f>"J2718"</f>
        <v>J2718</v>
      </c>
      <c r="E150" s="3" t="str">
        <f>"ED28B031"</f>
        <v>ED28B031</v>
      </c>
    </row>
    <row r="151" spans="1:5" x14ac:dyDescent="0.25">
      <c r="A151" s="3" t="str">
        <f>"279691"</f>
        <v>279691</v>
      </c>
      <c r="B151" s="4" t="str">
        <f>"81983763816"</f>
        <v>81983763816</v>
      </c>
      <c r="C151" t="str">
        <f>"EVERYDAY COUNTER-BIRTHDAY GENERAL FOR ANYONE PKG/6-J8992"</f>
        <v>EVERYDAY COUNTER-BIRTHDAY GENERAL FOR ANYONE PKG/6-J8992</v>
      </c>
      <c r="D151" s="3" t="str">
        <f>"J8992"</f>
        <v>J8992</v>
      </c>
      <c r="E151" s="3" t="str">
        <f>"ED28B032"</f>
        <v>ED28B032</v>
      </c>
    </row>
    <row r="152" spans="1:5" x14ac:dyDescent="0.25">
      <c r="A152" s="3" t="str">
        <f>"308309"</f>
        <v>308309</v>
      </c>
      <c r="B152" s="4" t="str">
        <f>"81983685521"</f>
        <v>81983685521</v>
      </c>
      <c r="C152" t="str">
        <f>"EVERYDAY COUNTER-BIRTHDAY HUSBAND PKG/6-J0338"</f>
        <v>EVERYDAY COUNTER-BIRTHDAY HUSBAND PKG/6-J0338</v>
      </c>
      <c r="D152" s="3" t="str">
        <f>"J0338"</f>
        <v>J0338</v>
      </c>
      <c r="E152" s="3" t="str">
        <f>"ED28B033"</f>
        <v>ED28B033</v>
      </c>
    </row>
    <row r="153" spans="1:5" x14ac:dyDescent="0.25">
      <c r="A153" s="3" t="str">
        <f>"298790"</f>
        <v>298790</v>
      </c>
      <c r="B153" s="4" t="str">
        <f>"81983603389"</f>
        <v>81983603389</v>
      </c>
      <c r="C153" t="str">
        <f>"EVERYDAY COUNTER-DAD-39185"</f>
        <v>EVERYDAY COUNTER-DAD-39185</v>
      </c>
      <c r="D153" s="3" t="str">
        <f>"39185"</f>
        <v>39185</v>
      </c>
      <c r="E153" s="3" t="str">
        <f>"ED28B034"</f>
        <v>ED28B034</v>
      </c>
    </row>
    <row r="154" spans="1:5" x14ac:dyDescent="0.25">
      <c r="A154" s="3" t="str">
        <f>"307958"</f>
        <v>307958</v>
      </c>
      <c r="B154" s="4" t="str">
        <f>"81983678523"</f>
        <v>81983678523</v>
      </c>
      <c r="C154" t="str">
        <f>"EVERYDAY COUNTER-REL BDAY-SON-55009"</f>
        <v>EVERYDAY COUNTER-REL BDAY-SON-55009</v>
      </c>
      <c r="D154" s="3" t="str">
        <f>"55009"</f>
        <v>55009</v>
      </c>
      <c r="E154" s="3" t="str">
        <f>"ED28B035"</f>
        <v>ED28B035</v>
      </c>
    </row>
    <row r="155" spans="1:5" x14ac:dyDescent="0.25">
      <c r="A155" s="3" t="str">
        <f>"349450"</f>
        <v>349450</v>
      </c>
      <c r="B155" s="4" t="str">
        <f>"81983777998"</f>
        <v>81983777998</v>
      </c>
      <c r="C155" t="str">
        <f>"EVERYDAY COUNTER-RELATIVE BIRTHDAY PKG/6-U0420"</f>
        <v>EVERYDAY COUNTER-RELATIVE BIRTHDAY PKG/6-U0420</v>
      </c>
      <c r="D155" s="3" t="str">
        <f>"U0420"</f>
        <v>U0420</v>
      </c>
      <c r="E155" s="3" t="str">
        <f>"ED28B036"</f>
        <v>ED28B036</v>
      </c>
    </row>
    <row r="156" spans="1:5" x14ac:dyDescent="0.25">
      <c r="A156" s="3" t="str">
        <f>"279493"</f>
        <v>279493</v>
      </c>
      <c r="B156" s="4" t="str">
        <f>"81983738562"</f>
        <v>81983738562</v>
      </c>
      <c r="C156" t="str">
        <f>"EVERYDAY COUNTER-REL BD GRANDFATHER PKG/6-J5523"</f>
        <v>EVERYDAY COUNTER-REL BD GRANDFATHER PKG/6-J5523</v>
      </c>
      <c r="D156" s="3" t="s">
        <v>14</v>
      </c>
      <c r="E156" s="3" t="str">
        <f>"ED28B037"</f>
        <v>ED28B037</v>
      </c>
    </row>
    <row r="157" spans="1:5" x14ac:dyDescent="0.25">
      <c r="A157" s="3" t="str">
        <f>"308398"</f>
        <v>308398</v>
      </c>
      <c r="B157" s="4" t="str">
        <f>"81983715044"</f>
        <v>81983715044</v>
      </c>
      <c r="C157" t="str">
        <f>"EVERYDAY COUNTER-BD -MASCULINE PKG/6-J2730"</f>
        <v>EVERYDAY COUNTER-BD -MASCULINE PKG/6-J2730</v>
      </c>
      <c r="D157" s="3" t="s">
        <v>15</v>
      </c>
      <c r="E157" s="3" t="str">
        <f>"ED28B038"</f>
        <v>ED28B038</v>
      </c>
    </row>
    <row r="158" spans="1:5" x14ac:dyDescent="0.25">
      <c r="A158" s="3" t="str">
        <f>"308287"</f>
        <v>308287</v>
      </c>
      <c r="B158" s="4" t="str">
        <f>"81983773143"</f>
        <v>81983773143</v>
      </c>
      <c r="C158" t="str">
        <f>"EVERYDAY COUNTER-BIRTHDAY FOR ANYONE MED PKG/6-J0313"</f>
        <v>EVERYDAY COUNTER-BIRTHDAY FOR ANYONE MED PKG/6-J0313</v>
      </c>
      <c r="D158" s="3" t="str">
        <f>"J0313"</f>
        <v>J0313</v>
      </c>
      <c r="E158" s="3" t="str">
        <f>"ED28B039"</f>
        <v>ED28B039</v>
      </c>
    </row>
    <row r="159" spans="1:5" x14ac:dyDescent="0.25">
      <c r="A159" s="3" t="str">
        <f>"349486"</f>
        <v>349486</v>
      </c>
      <c r="B159" s="4" t="str">
        <f>"81983777851"</f>
        <v>81983777851</v>
      </c>
      <c r="C159" t="str">
        <f>"EVERYDAY COUNTER-BIRTHDAY PKG/6-U0406"</f>
        <v>EVERYDAY COUNTER-BIRTHDAY PKG/6-U0406</v>
      </c>
      <c r="D159" s="3" t="str">
        <f>"U0406"</f>
        <v>U0406</v>
      </c>
      <c r="E159" s="3" t="str">
        <f>"ED28B040"</f>
        <v>ED28B040</v>
      </c>
    </row>
    <row r="160" spans="1:5" x14ac:dyDescent="0.25">
      <c r="A160" s="3" t="str">
        <f>"349472"</f>
        <v>349472</v>
      </c>
      <c r="B160" s="4" t="str">
        <f>"81983778100"</f>
        <v>81983778100</v>
      </c>
      <c r="C160" t="str">
        <f>"EVERYDAY COUNTER-RELATIVE BIRTHDAY PKG/6-U0431"</f>
        <v>EVERYDAY COUNTER-RELATIVE BIRTHDAY PKG/6-U0431</v>
      </c>
      <c r="D160" s="3" t="str">
        <f>"U0431"</f>
        <v>U0431</v>
      </c>
      <c r="E160" s="3" t="str">
        <f>"ED28B041"</f>
        <v>ED28B041</v>
      </c>
    </row>
    <row r="161" spans="1:5" x14ac:dyDescent="0.25">
      <c r="A161" s="3" t="str">
        <f>"308410"</f>
        <v>308410</v>
      </c>
      <c r="B161" s="4" t="str">
        <f>"81983773624"</f>
        <v>81983773624</v>
      </c>
      <c r="C161" t="str">
        <f>"EVERYDAY COUNTER-RELATIVE BD DAD PKG/6-J2744"</f>
        <v>EVERYDAY COUNTER-RELATIVE BD DAD PKG/6-J2744</v>
      </c>
      <c r="D161" s="3" t="str">
        <f>"J2744"</f>
        <v>J2744</v>
      </c>
      <c r="E161" s="3" t="str">
        <f>"ED28B042"</f>
        <v>ED28B042</v>
      </c>
    </row>
    <row r="162" spans="1:5" x14ac:dyDescent="0.25">
      <c r="A162" s="3" t="str">
        <f>"298720"</f>
        <v>298720</v>
      </c>
      <c r="B162" s="4" t="str">
        <f>"81983774041"</f>
        <v>81983774041</v>
      </c>
      <c r="C162" t="str">
        <f>"EVERYDAY COUNTER-RELATIVE BDAY-SON-11506"</f>
        <v>EVERYDAY COUNTER-RELATIVE BDAY-SON-11506</v>
      </c>
      <c r="D162" s="3" t="s">
        <v>16</v>
      </c>
      <c r="E162" s="3" t="str">
        <f>"ED28B043"</f>
        <v>ED28B043</v>
      </c>
    </row>
    <row r="163" spans="1:5" x14ac:dyDescent="0.25">
      <c r="A163" s="3" t="str">
        <f>"308296"</f>
        <v>308296</v>
      </c>
      <c r="B163" s="4" t="str">
        <f>"81983685385"</f>
        <v>81983685385</v>
      </c>
      <c r="C163" t="str">
        <f>"EVERYDAY COUNTER-BIRTHDAY BROTHER PKG/6-J0324"</f>
        <v>EVERYDAY COUNTER-BIRTHDAY BROTHER PKG/6-J0324</v>
      </c>
      <c r="D163" s="3" t="s">
        <v>17</v>
      </c>
      <c r="E163" s="3" t="str">
        <f>"ED28B044"</f>
        <v>ED28B044</v>
      </c>
    </row>
    <row r="164" spans="1:5" x14ac:dyDescent="0.25">
      <c r="A164" s="3" t="str">
        <f>"279495"</f>
        <v>279495</v>
      </c>
      <c r="B164" s="4" t="str">
        <f>"81983773662"</f>
        <v>81983773662</v>
      </c>
      <c r="C164" t="str">
        <f>"EVERYDAY COUNTER-REL BD GRANDPA PKG/6-J5525"</f>
        <v>EVERYDAY COUNTER-REL BD GRANDPA PKG/6-J5525</v>
      </c>
      <c r="D164" s="3" t="str">
        <f>"J5525"</f>
        <v>J5525</v>
      </c>
      <c r="E164" s="3" t="str">
        <f>"ED28B045"</f>
        <v>ED28B045</v>
      </c>
    </row>
    <row r="165" spans="1:5" x14ac:dyDescent="0.25">
      <c r="A165" s="3" t="str">
        <f>"349504"</f>
        <v>349504</v>
      </c>
      <c r="B165" s="4" t="str">
        <f>"81983777912"</f>
        <v>81983777912</v>
      </c>
      <c r="C165" t="str">
        <f>"EVERYDAY COUNTER-BIRTHDAY PKG/6-U0412"</f>
        <v>EVERYDAY COUNTER-BIRTHDAY PKG/6-U0412</v>
      </c>
      <c r="D165" s="3" t="str">
        <f>"U0412"</f>
        <v>U0412</v>
      </c>
      <c r="E165" s="3" t="str">
        <f>"ED28B046"</f>
        <v>ED28B046</v>
      </c>
    </row>
    <row r="166" spans="1:5" x14ac:dyDescent="0.25">
      <c r="A166" s="3" t="str">
        <f>"279476"</f>
        <v>279476</v>
      </c>
      <c r="B166" s="4" t="str">
        <f>"81983738432"</f>
        <v>81983738432</v>
      </c>
      <c r="C166" t="str">
        <f>"EVERYDAY COUNTER-BIRTHDAY GEN FOR ANYONE PKG/6-J5510"</f>
        <v>EVERYDAY COUNTER-BIRTHDAY GEN FOR ANYONE PKG/6-J5510</v>
      </c>
      <c r="D166" s="3" t="str">
        <f>"J5510"</f>
        <v>J5510</v>
      </c>
      <c r="E166" s="3" t="str">
        <f>"ED28B047"</f>
        <v>ED28B047</v>
      </c>
    </row>
    <row r="167" spans="1:5" x14ac:dyDescent="0.25">
      <c r="A167" s="3" t="str">
        <f>"279693"</f>
        <v>279693</v>
      </c>
      <c r="B167" s="4" t="str">
        <f>"81983763823"</f>
        <v>81983763823</v>
      </c>
      <c r="C167" t="str">
        <f>"EVERYDAY COUNTER-BIRTHDAY GENERAL FOR ANYONE PKG/6-J8993"</f>
        <v>EVERYDAY COUNTER-BIRTHDAY GENERAL FOR ANYONE PKG/6-J8993</v>
      </c>
      <c r="D167" s="3" t="str">
        <f>"J8993"</f>
        <v>J8993</v>
      </c>
      <c r="E167" s="3" t="str">
        <f>"ED28B048"</f>
        <v>ED28B048</v>
      </c>
    </row>
    <row r="168" spans="1:5" x14ac:dyDescent="0.25">
      <c r="A168" s="3" t="str">
        <f>"298689"</f>
        <v>298689</v>
      </c>
      <c r="B168" s="4" t="str">
        <f>"81983652158"</f>
        <v>81983652158</v>
      </c>
      <c r="C168" t="str">
        <f>"EVERYDAY COUNTER-BIRTHDAY HUSBAND PKG/6-10264"</f>
        <v>EVERYDAY COUNTER-BIRTHDAY HUSBAND PKG/6-10264</v>
      </c>
      <c r="D168" s="3" t="str">
        <f>"10264"</f>
        <v>10264</v>
      </c>
      <c r="E168" s="3" t="str">
        <f>"ED28B049"</f>
        <v>ED28B049</v>
      </c>
    </row>
    <row r="169" spans="1:5" x14ac:dyDescent="0.25">
      <c r="A169" s="3" t="str">
        <f>"298688"</f>
        <v>298688</v>
      </c>
      <c r="B169" s="4" t="str">
        <f>"81983652127"</f>
        <v>81983652127</v>
      </c>
      <c r="C169" t="str">
        <f>"EVERYDAY COUNTER-BIRTHDAY DAD PKG/6-10261"</f>
        <v>EVERYDAY COUNTER-BIRTHDAY DAD PKG/6-10261</v>
      </c>
      <c r="D169" s="3" t="str">
        <f>"10261"</f>
        <v>10261</v>
      </c>
      <c r="E169" s="3" t="str">
        <f>"ED28B050"</f>
        <v>ED28B050</v>
      </c>
    </row>
    <row r="170" spans="1:5" x14ac:dyDescent="0.25">
      <c r="A170" s="3" t="str">
        <f>"298716"</f>
        <v>298716</v>
      </c>
      <c r="B170" s="4" t="str">
        <f>"81983774133"</f>
        <v>81983774133</v>
      </c>
      <c r="C170" t="str">
        <f>"EVERYDAY COUNTER-BIRTHDAY SON PKG/6-10302"</f>
        <v>EVERYDAY COUNTER-BIRTHDAY SON PKG/6-10302</v>
      </c>
      <c r="D170" s="3" t="str">
        <f>"10302"</f>
        <v>10302</v>
      </c>
      <c r="E170" s="3" t="str">
        <f>"ED28B051"</f>
        <v>ED28B051</v>
      </c>
    </row>
    <row r="171" spans="1:5" x14ac:dyDescent="0.25">
      <c r="A171" s="3" t="str">
        <f>"279484"</f>
        <v>279484</v>
      </c>
      <c r="B171" s="4" t="str">
        <f>"81983738494"</f>
        <v>81983738494</v>
      </c>
      <c r="C171" t="str">
        <f>"EVERYDAY COUNTER-REL BD BROTHER PKG/6-J5516"</f>
        <v>EVERYDAY COUNTER-REL BD BROTHER PKG/6-J5516</v>
      </c>
      <c r="D171" s="3" t="str">
        <f>"J5516"</f>
        <v>J5516</v>
      </c>
      <c r="E171" s="3" t="str">
        <f>"ED28B052"</f>
        <v>ED28B052</v>
      </c>
    </row>
    <row r="172" spans="1:5" x14ac:dyDescent="0.25">
      <c r="A172" s="3" t="str">
        <f>"279494"</f>
        <v>279494</v>
      </c>
      <c r="B172" s="4" t="str">
        <f>"81983738579"</f>
        <v>81983738579</v>
      </c>
      <c r="C172" t="str">
        <f>"EVERYDAY COUNTER-REL BD GRANDPA PKG/6-J5524"</f>
        <v>EVERYDAY COUNTER-REL BD GRANDPA PKG/6-J5524</v>
      </c>
      <c r="D172" s="3" t="str">
        <f>"J5524"</f>
        <v>J5524</v>
      </c>
      <c r="E172" s="3" t="str">
        <f>"ED28B053"</f>
        <v>ED28B053</v>
      </c>
    </row>
    <row r="173" spans="1:5" x14ac:dyDescent="0.25">
      <c r="A173" s="3" t="str">
        <f>"308291"</f>
        <v>308291</v>
      </c>
      <c r="B173" s="4" t="str">
        <f>"81983773204"</f>
        <v>81983773204</v>
      </c>
      <c r="C173" t="str">
        <f>"EVERYDAY COUNTER-BIRTHDAY MASCULINE SMALL PKG/6-J0318"</f>
        <v>EVERYDAY COUNTER-BIRTHDAY MASCULINE SMALL PKG/6-J0318</v>
      </c>
      <c r="D173" s="3" t="str">
        <f>"J0318"</f>
        <v>J0318</v>
      </c>
      <c r="E173" s="3" t="str">
        <f>"ED28B054"</f>
        <v>ED28B054</v>
      </c>
    </row>
    <row r="174" spans="1:5" x14ac:dyDescent="0.25">
      <c r="A174" s="3" t="str">
        <f>"308389"</f>
        <v>308389</v>
      </c>
      <c r="B174" s="4" t="str">
        <f>"81983773136"</f>
        <v>81983773136</v>
      </c>
      <c r="C174" t="str">
        <f>"EVERYDAY COUNTER-BIRTHDAY GENERAL FOR ANYONE PKG/6-J2723"</f>
        <v>EVERYDAY COUNTER-BIRTHDAY GENERAL FOR ANYONE PKG/6-J2723</v>
      </c>
      <c r="D174" s="3" t="s">
        <v>18</v>
      </c>
      <c r="E174" s="3" t="str">
        <f>"ED28B055"</f>
        <v>ED28B055</v>
      </c>
    </row>
    <row r="175" spans="1:5" x14ac:dyDescent="0.25">
      <c r="A175" s="3" t="str">
        <f>"279694"</f>
        <v>279694</v>
      </c>
      <c r="B175" s="4" t="str">
        <f>"81983763830"</f>
        <v>81983763830</v>
      </c>
      <c r="C175" t="str">
        <f>"EVERYDAY COUNTER-BIRTHDAY GENERAL FOR ANYONE PKG/6-J8994"</f>
        <v>EVERYDAY COUNTER-BIRTHDAY GENERAL FOR ANYONE PKG/6-J8994</v>
      </c>
      <c r="D175" s="3" t="str">
        <f>"J8994"</f>
        <v>J8994</v>
      </c>
      <c r="E175" s="3" t="str">
        <f>"ED28B056"</f>
        <v>ED28B056</v>
      </c>
    </row>
    <row r="176" spans="1:5" x14ac:dyDescent="0.25">
      <c r="A176" s="3" t="str">
        <f>"308416"</f>
        <v>308416</v>
      </c>
      <c r="B176" s="4" t="str">
        <f>"81983715266"</f>
        <v>81983715266</v>
      </c>
      <c r="C176" t="str">
        <f>"EVERYDAY COUNTER-RELATIVE BD HUSBAND PKG/6-J2752"</f>
        <v>EVERYDAY COUNTER-RELATIVE BD HUSBAND PKG/6-J2752</v>
      </c>
      <c r="D176" s="3" t="str">
        <f>"J2752"</f>
        <v>J2752</v>
      </c>
      <c r="E176" s="3" t="str">
        <f>"ED28B057"</f>
        <v>ED28B057</v>
      </c>
    </row>
    <row r="177" spans="1:5" x14ac:dyDescent="0.25">
      <c r="A177" s="3" t="str">
        <f>"279488"</f>
        <v>279488</v>
      </c>
      <c r="B177" s="4" t="str">
        <f>"81983738531"</f>
        <v>81983738531</v>
      </c>
      <c r="C177" t="str">
        <f>"EVERYDAY COUNTER-REL BIRTHDAY DAD PKG/6-J5520"</f>
        <v>EVERYDAY COUNTER-REL BIRTHDAY DAD PKG/6-J5520</v>
      </c>
      <c r="D177" s="3" t="str">
        <f>"J5520"</f>
        <v>J5520</v>
      </c>
      <c r="E177" s="3" t="str">
        <f>"ED28B058"</f>
        <v>ED28B058</v>
      </c>
    </row>
    <row r="178" spans="1:5" x14ac:dyDescent="0.25">
      <c r="A178" s="3" t="str">
        <f>"349517"</f>
        <v>349517</v>
      </c>
      <c r="B178" s="4" t="str">
        <f>"81983778261"</f>
        <v>81983778261</v>
      </c>
      <c r="C178" t="str">
        <f>"EVERYDAY COUNTER-RELATIVE BIRTHDAY PKG/6-U0447"</f>
        <v>EVERYDAY COUNTER-RELATIVE BIRTHDAY PKG/6-U0447</v>
      </c>
      <c r="D178" s="3" t="str">
        <f>"U0447"</f>
        <v>U0447</v>
      </c>
      <c r="E178" s="3" t="str">
        <f>"ED28B059"</f>
        <v>ED28B059</v>
      </c>
    </row>
    <row r="179" spans="1:5" x14ac:dyDescent="0.25">
      <c r="A179" s="3" t="str">
        <f>"349452"</f>
        <v>349452</v>
      </c>
      <c r="B179" s="4" t="str">
        <f>"81983777981"</f>
        <v>81983777981</v>
      </c>
      <c r="C179" t="str">
        <f>"EVERYDAY COUNTER-RELATIVE BIRTHDAY PKG/6-U0419"</f>
        <v>EVERYDAY COUNTER-RELATIVE BIRTHDAY PKG/6-U0419</v>
      </c>
      <c r="D179" s="3" t="str">
        <f>"U0419"</f>
        <v>U0419</v>
      </c>
      <c r="E179" s="3" t="str">
        <f>"ED28B060"</f>
        <v>ED28B060</v>
      </c>
    </row>
    <row r="180" spans="1:5" x14ac:dyDescent="0.25">
      <c r="A180" s="3" t="str">
        <f>"308304"</f>
        <v>308304</v>
      </c>
      <c r="B180" s="4" t="str">
        <f>"81983685484"</f>
        <v>81983685484</v>
      </c>
      <c r="C180" t="str">
        <f>"EVERYDAY COUNTER-BIRTHDAY GRANDPA PKG/6-J0334"</f>
        <v>EVERYDAY COUNTER-BIRTHDAY GRANDPA PKG/6-J0334</v>
      </c>
      <c r="D180" s="3" t="str">
        <f>"J0334"</f>
        <v>J0334</v>
      </c>
      <c r="E180" s="3" t="str">
        <f>"ED28B061"</f>
        <v>ED28B061</v>
      </c>
    </row>
    <row r="181" spans="1:5" x14ac:dyDescent="0.25">
      <c r="A181" s="3" t="str">
        <f>"349513"</f>
        <v>349513</v>
      </c>
      <c r="B181" s="4" t="str">
        <f>"81983777929"</f>
        <v>81983777929</v>
      </c>
      <c r="C181" t="str">
        <f>"EVERYDAY COUNTER-BIRTHDAY PKG/6-U0413"</f>
        <v>EVERYDAY COUNTER-BIRTHDAY PKG/6-U0413</v>
      </c>
      <c r="D181" s="3" t="str">
        <f>"U0413"</f>
        <v>U0413</v>
      </c>
      <c r="E181" s="3" t="str">
        <f>"ED28B062"</f>
        <v>ED28B062</v>
      </c>
    </row>
    <row r="182" spans="1:5" x14ac:dyDescent="0.25">
      <c r="A182" s="3" t="str">
        <f>"308390"</f>
        <v>308390</v>
      </c>
      <c r="B182" s="4" t="str">
        <f>"81983773198"</f>
        <v>81983773198</v>
      </c>
      <c r="C182" t="str">
        <f>"EVERYDAY COUNTER-BIRTHDAY GENERAL FOR ANYONE PKG/6-J2724"</f>
        <v>EVERYDAY COUNTER-BIRTHDAY GENERAL FOR ANYONE PKG/6-J2724</v>
      </c>
      <c r="D182" s="3" t="str">
        <f>"J2724"</f>
        <v>J2724</v>
      </c>
      <c r="E182" s="3" t="str">
        <f>"ED28B063"</f>
        <v>ED28B063</v>
      </c>
    </row>
    <row r="183" spans="1:5" x14ac:dyDescent="0.25">
      <c r="A183" s="3" t="str">
        <f>"279696"</f>
        <v>279696</v>
      </c>
      <c r="B183" s="4" t="str">
        <f>"81983773129"</f>
        <v>81983773129</v>
      </c>
      <c r="C183" t="str">
        <f>"EVERYDAY COUNTER-BIRTHDAY GENERAL FOR ANYONE PKG/6-J8995"</f>
        <v>EVERYDAY COUNTER-BIRTHDAY GENERAL FOR ANYONE PKG/6-J8995</v>
      </c>
      <c r="D183" s="3" t="s">
        <v>19</v>
      </c>
      <c r="E183" s="3" t="str">
        <f>"ED28B064"</f>
        <v>ED28B064</v>
      </c>
    </row>
    <row r="184" spans="1:5" x14ac:dyDescent="0.25">
      <c r="A184" s="3" t="str">
        <f>"279506"</f>
        <v>279506</v>
      </c>
      <c r="B184" s="4" t="str">
        <f>"81983773778"</f>
        <v>81983773778</v>
      </c>
      <c r="C184" t="str">
        <f>"EVERYDAY COUNTER-REL BD HUSBAND PKG/6-J5532"</f>
        <v>EVERYDAY COUNTER-REL BD HUSBAND PKG/6-J5532</v>
      </c>
      <c r="D184" s="3" t="str">
        <f>"J5532"</f>
        <v>J5532</v>
      </c>
      <c r="E184" s="3" t="str">
        <f>"ED28B065"</f>
        <v>ED28B065</v>
      </c>
    </row>
    <row r="185" spans="1:5" x14ac:dyDescent="0.25">
      <c r="A185" s="3" t="str">
        <f>"349460"</f>
        <v>349460</v>
      </c>
      <c r="B185" s="4" t="str">
        <f>"81983778063"</f>
        <v>81983778063</v>
      </c>
      <c r="C185" t="str">
        <f>"EVERYDAY COUNTER-RELATIVE BIRTHDAY PKG/6-U0427"</f>
        <v>EVERYDAY COUNTER-RELATIVE BIRTHDAY PKG/6-U0427</v>
      </c>
      <c r="D185" s="3" t="str">
        <f>"U0427"</f>
        <v>U0427</v>
      </c>
      <c r="E185" s="3" t="str">
        <f>"ED28B066"</f>
        <v>ED28B066</v>
      </c>
    </row>
    <row r="186" spans="1:5" x14ac:dyDescent="0.25">
      <c r="A186" s="3" t="str">
        <f>"308142"</f>
        <v>308142</v>
      </c>
      <c r="B186" s="4" t="str">
        <f>"81983584237"</f>
        <v>81983584237</v>
      </c>
      <c r="C186" t="str">
        <f>"EVERYDAY COUNTER-RELATIVE BIRTHDAY SON ADULT-82369"</f>
        <v>EVERYDAY COUNTER-RELATIVE BIRTHDAY SON ADULT-82369</v>
      </c>
      <c r="D186" s="3" t="str">
        <f>"82369"</f>
        <v>82369</v>
      </c>
      <c r="E186" s="3" t="str">
        <f>"ED28B067"</f>
        <v>ED28B067</v>
      </c>
    </row>
    <row r="187" spans="1:5" x14ac:dyDescent="0.25">
      <c r="A187" s="3" t="str">
        <f>"279483"</f>
        <v>279483</v>
      </c>
      <c r="B187" s="4" t="str">
        <f>"81983738487"</f>
        <v>81983738487</v>
      </c>
      <c r="C187" t="str">
        <f>"EVERYDAY COUNTER-REL BD BROTHER PKG/6-J5515"</f>
        <v>EVERYDAY COUNTER-REL BD BROTHER PKG/6-J5515</v>
      </c>
      <c r="D187" s="3" t="str">
        <f>"J5515"</f>
        <v>J5515</v>
      </c>
      <c r="E187" s="3" t="str">
        <f>"ED28B068"</f>
        <v>ED28B068</v>
      </c>
    </row>
    <row r="188" spans="1:5" x14ac:dyDescent="0.25">
      <c r="A188" s="3" t="str">
        <f>"298762"</f>
        <v>298762</v>
      </c>
      <c r="B188" s="4" t="str">
        <f>"81983678325"</f>
        <v>81983678325</v>
      </c>
      <c r="C188" t="str">
        <f>"EVERYDAY COUNTER-RELATIVE BDAY-GRANDSON-11771"</f>
        <v>EVERYDAY COUNTER-RELATIVE BDAY-GRANDSON-11771</v>
      </c>
      <c r="D188" s="3" t="str">
        <f>"11771"</f>
        <v>11771</v>
      </c>
      <c r="E188" s="3" t="str">
        <f>"ED28B069"</f>
        <v>ED28B069</v>
      </c>
    </row>
    <row r="189" spans="1:5" x14ac:dyDescent="0.25">
      <c r="A189" s="3" t="str">
        <f>"308289"</f>
        <v>308289</v>
      </c>
      <c r="B189" s="4" t="str">
        <f>"81983773174"</f>
        <v>81983773174</v>
      </c>
      <c r="C189" t="str">
        <f>"EVERYDAY COUNTER-BIRTHDAY MASCULINE SMALL PKG/6-J0316"</f>
        <v>EVERYDAY COUNTER-BIRTHDAY MASCULINE SMALL PKG/6-J0316</v>
      </c>
      <c r="D189" s="3" t="str">
        <f>"J0316"</f>
        <v>J0316</v>
      </c>
      <c r="E189" s="3" t="str">
        <f>"ED28B070"</f>
        <v>ED28B070</v>
      </c>
    </row>
    <row r="190" spans="1:5" x14ac:dyDescent="0.25">
      <c r="A190" s="3" t="str">
        <f>"279697"</f>
        <v>279697</v>
      </c>
      <c r="B190" s="4" t="str">
        <f>"81983763854"</f>
        <v>81983763854</v>
      </c>
      <c r="C190" t="str">
        <f>"EVERYDAY COUNTER-BIRTHDAY GENERAL FOR ANYONE PKG/6-J8996"</f>
        <v>EVERYDAY COUNTER-BIRTHDAY GENERAL FOR ANYONE PKG/6-J8996</v>
      </c>
      <c r="D190" s="3" t="str">
        <f>"J8996"</f>
        <v>J8996</v>
      </c>
      <c r="E190" s="3" t="str">
        <f>"ED28B071"</f>
        <v>ED28B071</v>
      </c>
    </row>
    <row r="191" spans="1:5" x14ac:dyDescent="0.25">
      <c r="A191" s="3" t="str">
        <f>"349484"</f>
        <v>349484</v>
      </c>
      <c r="B191" s="4" t="str">
        <f>"81983777875"</f>
        <v>81983777875</v>
      </c>
      <c r="C191" t="str">
        <f>"EVERYDAY COUNTER-BIRTHDAY PKG/6-U0408"</f>
        <v>EVERYDAY COUNTER-BIRTHDAY PKG/6-U0408</v>
      </c>
      <c r="D191" s="3" t="str">
        <f>"U0408"</f>
        <v>U0408</v>
      </c>
      <c r="E191" s="3" t="str">
        <f>"ED28B072"</f>
        <v>ED28B072</v>
      </c>
    </row>
    <row r="192" spans="1:5" x14ac:dyDescent="0.25">
      <c r="A192" s="3" t="str">
        <f>"308415"</f>
        <v>308415</v>
      </c>
      <c r="B192" s="4" t="str">
        <f>"81983715259"</f>
        <v>81983715259</v>
      </c>
      <c r="C192" t="str">
        <f>"EVERYDAY COUNTER-RELATIVE BD HUSBAND PKG/6-J2751"</f>
        <v>EVERYDAY COUNTER-RELATIVE BD HUSBAND PKG/6-J2751</v>
      </c>
      <c r="D192" s="3" t="str">
        <f>"J2751"</f>
        <v>J2751</v>
      </c>
      <c r="E192" s="3" t="str">
        <f>"ED28B073"</f>
        <v>ED28B073</v>
      </c>
    </row>
    <row r="193" spans="1:5" x14ac:dyDescent="0.25">
      <c r="A193" s="3" t="str">
        <f>"279736"</f>
        <v>279736</v>
      </c>
      <c r="B193" s="4" t="str">
        <f>"81983764158"</f>
        <v>81983764158</v>
      </c>
      <c r="C193" t="str">
        <f>"EVERYDAY COUNTER-RELATIVE BD DAD PKG/6-J9026"</f>
        <v>EVERYDAY COUNTER-RELATIVE BD DAD PKG/6-J9026</v>
      </c>
      <c r="D193" s="3" t="str">
        <f>"J9026"</f>
        <v>J9026</v>
      </c>
      <c r="E193" s="3" t="str">
        <f>"ED28B074"</f>
        <v>ED28B074</v>
      </c>
    </row>
    <row r="194" spans="1:5" x14ac:dyDescent="0.25">
      <c r="A194" s="3" t="str">
        <f>"349515"</f>
        <v>349515</v>
      </c>
      <c r="B194" s="4" t="str">
        <f>"81983778254"</f>
        <v>81983778254</v>
      </c>
      <c r="C194" t="str">
        <f>"EVERYDAY COUNTER-RELATIVE BIRTHDAY PKG/6-U0446"</f>
        <v>EVERYDAY COUNTER-RELATIVE BIRTHDAY PKG/6-U0446</v>
      </c>
      <c r="D194" s="3" t="str">
        <f>"U0446"</f>
        <v>U0446</v>
      </c>
      <c r="E194" s="3" t="str">
        <f>"ED28B075"</f>
        <v>ED28B075</v>
      </c>
    </row>
    <row r="195" spans="1:5" x14ac:dyDescent="0.25">
      <c r="A195" s="3" t="str">
        <f>"279727"</f>
        <v>279727</v>
      </c>
      <c r="B195" s="4" t="str">
        <f>"81983764073"</f>
        <v>81983764073</v>
      </c>
      <c r="C195" t="str">
        <f>"EVERYDAY COUNTER-RELATIVE BD BROTHER PKG/6-J9018"</f>
        <v>EVERYDAY COUNTER-RELATIVE BD BROTHER PKG/6-J9018</v>
      </c>
      <c r="D195" s="3" t="str">
        <f>"J9018"</f>
        <v>J9018</v>
      </c>
      <c r="E195" s="3" t="str">
        <f>"ED28B076"</f>
        <v>ED28B076</v>
      </c>
    </row>
    <row r="196" spans="1:5" x14ac:dyDescent="0.25">
      <c r="A196" s="3" t="str">
        <f>"308306"</f>
        <v>308306</v>
      </c>
      <c r="B196" s="4" t="str">
        <f>"81983773686"</f>
        <v>81983773686</v>
      </c>
      <c r="C196" t="str">
        <f>"EVERYDAY COUNTER-BIRTHDAY GRANDSON PKG/6-J0336"</f>
        <v>EVERYDAY COUNTER-BIRTHDAY GRANDSON PKG/6-J0336</v>
      </c>
      <c r="D196" s="3" t="str">
        <f>"J0336"</f>
        <v>J0336</v>
      </c>
      <c r="E196" s="3" t="str">
        <f>"ED28B077"</f>
        <v>ED28B077</v>
      </c>
    </row>
    <row r="197" spans="1:5" x14ac:dyDescent="0.25">
      <c r="A197" s="3" t="str">
        <f>"349481"</f>
        <v>349481</v>
      </c>
      <c r="B197" s="4" t="str">
        <f>"81983777882"</f>
        <v>81983777882</v>
      </c>
      <c r="C197" t="str">
        <f>"EVERYDAY COUNTER-BIRTHDAY PKG/6-U0409"</f>
        <v>EVERYDAY COUNTER-BIRTHDAY PKG/6-U0409</v>
      </c>
      <c r="D197" s="3" t="str">
        <f>"U0409"</f>
        <v>U0409</v>
      </c>
      <c r="E197" s="3" t="str">
        <f>"ED28B078"</f>
        <v>ED28B078</v>
      </c>
    </row>
    <row r="198" spans="1:5" x14ac:dyDescent="0.25">
      <c r="A198" s="3" t="str">
        <f>"349483"</f>
        <v>349483</v>
      </c>
      <c r="B198" s="4" t="str">
        <f>"81983777899"</f>
        <v>81983777899</v>
      </c>
      <c r="C198" t="str">
        <f>"EVERYDAY COUNTER-BIRTHDAY PKG/6-U0410"</f>
        <v>EVERYDAY COUNTER-BIRTHDAY PKG/6-U0410</v>
      </c>
      <c r="D198" s="3" t="str">
        <f>"U0410"</f>
        <v>U0410</v>
      </c>
      <c r="E198" s="3" t="str">
        <f>"ED28B079"</f>
        <v>ED28B079</v>
      </c>
    </row>
    <row r="199" spans="1:5" x14ac:dyDescent="0.25">
      <c r="A199" s="3" t="str">
        <f>"308376"</f>
        <v>308376</v>
      </c>
      <c r="B199" s="4" t="str">
        <f>"81983714863"</f>
        <v>81983714863</v>
      </c>
      <c r="C199" t="str">
        <f>"EVERYDAY COUNTER-BD GENERAL FEMININE PKG/6-J2712"</f>
        <v>EVERYDAY COUNTER-BD GENERAL FEMININE PKG/6-J2712</v>
      </c>
      <c r="D199" s="3" t="str">
        <f>"J2712"</f>
        <v>J2712</v>
      </c>
      <c r="E199" s="3" t="str">
        <f>"ED28B080"</f>
        <v>ED28B080</v>
      </c>
    </row>
    <row r="200" spans="1:5" x14ac:dyDescent="0.25">
      <c r="A200" s="3" t="str">
        <f>"401603"</f>
        <v>401603</v>
      </c>
      <c r="B200" s="4" t="str">
        <f>"81983738647"</f>
        <v>81983738647</v>
      </c>
      <c r="C200" t="str">
        <f>"EVERYDAY COUNTER-REL BD HUSBAND-NON REL PKG/6-J5531"</f>
        <v>EVERYDAY COUNTER-REL BD HUSBAND-NON REL PKG/6-J5531</v>
      </c>
      <c r="D200" s="3" t="str">
        <f>"J5531"</f>
        <v>J5531</v>
      </c>
      <c r="E200" s="3" t="str">
        <f>"ED28B081"</f>
        <v>ED28B081</v>
      </c>
    </row>
    <row r="201" spans="1:5" x14ac:dyDescent="0.25">
      <c r="A201" s="3" t="str">
        <f>"349461"</f>
        <v>349461</v>
      </c>
      <c r="B201" s="4" t="str">
        <f>"81983778070"</f>
        <v>81983778070</v>
      </c>
      <c r="C201" t="str">
        <f>"EVERYDAY COUNTER-RELATIVE BIRTHDAY PKG/6-U0428"</f>
        <v>EVERYDAY COUNTER-RELATIVE BIRTHDAY PKG/6-U0428</v>
      </c>
      <c r="D201" s="3" t="str">
        <f>"U0428"</f>
        <v>U0428</v>
      </c>
      <c r="E201" s="3" t="str">
        <f>"ED28B082"</f>
        <v>ED28B082</v>
      </c>
    </row>
    <row r="202" spans="1:5" x14ac:dyDescent="0.25">
      <c r="A202" s="3" t="str">
        <f>"279763"</f>
        <v>279763</v>
      </c>
      <c r="B202" s="4" t="str">
        <f>"81983764387"</f>
        <v>81983764387</v>
      </c>
      <c r="C202" t="str">
        <f>"EVERYDAY COUNTER-RELATIVE BD SON PKG/6-J9049"</f>
        <v>EVERYDAY COUNTER-RELATIVE BD SON PKG/6-J9049</v>
      </c>
      <c r="D202" s="3" t="str">
        <f>"J9049"</f>
        <v>J9049</v>
      </c>
      <c r="E202" s="3" t="str">
        <f>"ED28B083"</f>
        <v>ED28B083</v>
      </c>
    </row>
    <row r="203" spans="1:5" x14ac:dyDescent="0.25">
      <c r="A203" s="3" t="str">
        <f>"279726"</f>
        <v>279726</v>
      </c>
      <c r="B203" s="4" t="str">
        <f>"81983764066"</f>
        <v>81983764066</v>
      </c>
      <c r="C203" t="str">
        <f>"EVERYDAY COUNTER-RELATIVE BD BROTHER PKG/6-J9017"</f>
        <v>EVERYDAY COUNTER-RELATIVE BD BROTHER PKG/6-J9017</v>
      </c>
      <c r="D203" s="3" t="str">
        <f>"J9017"</f>
        <v>J9017</v>
      </c>
      <c r="E203" s="3" t="str">
        <f>"ED28B084"</f>
        <v>ED28B084</v>
      </c>
    </row>
    <row r="204" spans="1:5" x14ac:dyDescent="0.25">
      <c r="A204" s="3" t="str">
        <f>"279503"</f>
        <v>279503</v>
      </c>
      <c r="B204" s="4" t="str">
        <f>"81983738630"</f>
        <v>81983738630</v>
      </c>
      <c r="C204" t="str">
        <f>"EVERYDAY COUNTER-REL BD GRANDSON ADULT PKG/6-J5530"</f>
        <v>EVERYDAY COUNTER-REL BD GRANDSON ADULT PKG/6-J5530</v>
      </c>
      <c r="D204" s="3" t="s">
        <v>20</v>
      </c>
      <c r="E204" s="3" t="str">
        <f>"ED28B085"</f>
        <v>ED28B085</v>
      </c>
    </row>
    <row r="205" spans="1:5" x14ac:dyDescent="0.25">
      <c r="A205" s="3" t="str">
        <f>"279501"</f>
        <v>279501</v>
      </c>
      <c r="B205" s="4" t="str">
        <f>"81983738623"</f>
        <v>81983738623</v>
      </c>
      <c r="C205" t="str">
        <f>"EVERYDAY COUNTER-REL BD GRANDSON JUV PKG/6-J5529"</f>
        <v>EVERYDAY COUNTER-REL BD GRANDSON JUV PKG/6-J5529</v>
      </c>
      <c r="D205" s="3" t="str">
        <f>"J5529"</f>
        <v>J5529</v>
      </c>
      <c r="E205" s="3" t="str">
        <f>"ED28B086"</f>
        <v>ED28B086</v>
      </c>
    </row>
    <row r="206" spans="1:5" x14ac:dyDescent="0.25">
      <c r="A206" s="3" t="str">
        <f>"308388"</f>
        <v>308388</v>
      </c>
      <c r="B206" s="4" t="str">
        <f>"81983773150"</f>
        <v>81983773150</v>
      </c>
      <c r="C206" t="str">
        <f>"EVERYDAY COUNTER-BIRTHDAY GENERAL FOR ANYONE PKG/6-J2722"</f>
        <v>EVERYDAY COUNTER-BIRTHDAY GENERAL FOR ANYONE PKG/6-J2722</v>
      </c>
      <c r="D206" s="3" t="str">
        <f>"J2722"</f>
        <v>J2722</v>
      </c>
      <c r="E206" s="3" t="str">
        <f>"ED28B087"</f>
        <v>ED28B087</v>
      </c>
    </row>
    <row r="207" spans="1:5" x14ac:dyDescent="0.25">
      <c r="A207" s="3" t="str">
        <f>"349479"</f>
        <v>349479</v>
      </c>
      <c r="B207" s="4" t="str">
        <f>"81983777790"</f>
        <v>81983777790</v>
      </c>
      <c r="C207" t="str">
        <f>"EVERYDAY COUNTER-BIRTHDAY PKG/6-U0400"</f>
        <v>EVERYDAY COUNTER-BIRTHDAY PKG/6-U0400</v>
      </c>
      <c r="D207" s="3" t="str">
        <f>"U0400"</f>
        <v>U0400</v>
      </c>
      <c r="E207" s="3" t="str">
        <f>"ED28B088"</f>
        <v>ED28B088</v>
      </c>
    </row>
    <row r="208" spans="1:5" x14ac:dyDescent="0.25">
      <c r="A208" s="3" t="str">
        <f>"349478"</f>
        <v>349478</v>
      </c>
      <c r="B208" s="4" t="str">
        <f>"81983777806"</f>
        <v>81983777806</v>
      </c>
      <c r="C208" t="str">
        <f>"EVERYDAY COUNTER-BIRTHDAY PKG/6-U0401"</f>
        <v>EVERYDAY COUNTER-BIRTHDAY PKG/6-U0401</v>
      </c>
      <c r="D208" s="3" t="str">
        <f>"U0401"</f>
        <v>U0401</v>
      </c>
      <c r="E208" s="3" t="str">
        <f>"ED28B089"</f>
        <v>ED28B089</v>
      </c>
    </row>
    <row r="209" spans="1:5" x14ac:dyDescent="0.25">
      <c r="A209" s="3" t="str">
        <f>"279517"</f>
        <v>279517</v>
      </c>
      <c r="B209" s="4" t="str">
        <f>"81983738746"</f>
        <v>81983738746</v>
      </c>
      <c r="C209" t="str">
        <f>"EVERYDAY COUNTER-REL BD NEPHEW ADULT PKG/6-J5541"</f>
        <v>EVERYDAY COUNTER-REL BD NEPHEW ADULT PKG/6-J5541</v>
      </c>
      <c r="D209" s="3" t="str">
        <f>"J5541"</f>
        <v>J5541</v>
      </c>
      <c r="E209" s="3" t="str">
        <f>"ED28B090"</f>
        <v>ED28B090</v>
      </c>
    </row>
    <row r="210" spans="1:5" x14ac:dyDescent="0.25">
      <c r="A210" s="3" t="str">
        <f>"279529"</f>
        <v>279529</v>
      </c>
      <c r="B210" s="4" t="str">
        <f>"81983738852"</f>
        <v>81983738852</v>
      </c>
      <c r="C210" t="str">
        <f>"EVERYDAY COUNTER-REL BD SON TEEN PKG/6-J5552"</f>
        <v>EVERYDAY COUNTER-REL BD SON TEEN PKG/6-J5552</v>
      </c>
      <c r="D210" s="3" t="str">
        <f>"J5552"</f>
        <v>J5552</v>
      </c>
      <c r="E210" s="3" t="str">
        <f>"ED28B091"</f>
        <v>ED28B091</v>
      </c>
    </row>
    <row r="211" spans="1:5" x14ac:dyDescent="0.25">
      <c r="A211" s="3" t="str">
        <f>"298721"</f>
        <v>298721</v>
      </c>
      <c r="B211" s="4" t="str">
        <f>"81983678264"</f>
        <v>81983678264</v>
      </c>
      <c r="C211" t="str">
        <f>"EVERYDAY COUNTER-RELATIVE BDAY-SON-11507"</f>
        <v>EVERYDAY COUNTER-RELATIVE BDAY-SON-11507</v>
      </c>
      <c r="D211" s="3" t="str">
        <f>"11507"</f>
        <v>11507</v>
      </c>
      <c r="E211" s="3" t="str">
        <f>"ED28B092"</f>
        <v>ED28B092</v>
      </c>
    </row>
    <row r="212" spans="1:5" x14ac:dyDescent="0.25">
      <c r="A212" s="3" t="str">
        <f>"349451"</f>
        <v>349451</v>
      </c>
      <c r="B212" s="4" t="str">
        <f>"81983778001"</f>
        <v>81983778001</v>
      </c>
      <c r="C212" t="str">
        <f>"EVERYDAY COUNTER-RELATIVE BIRTHDAY PKG/6-U0421"</f>
        <v>EVERYDAY COUNTER-RELATIVE BIRTHDAY PKG/6-U0421</v>
      </c>
      <c r="D212" s="3" t="str">
        <f>"U0421"</f>
        <v>U0421</v>
      </c>
      <c r="E212" s="3" t="str">
        <f>"ED28B093"</f>
        <v>ED28B093</v>
      </c>
    </row>
    <row r="213" spans="1:5" x14ac:dyDescent="0.25">
      <c r="A213" s="3" t="str">
        <f>"308413"</f>
        <v>308413</v>
      </c>
      <c r="B213" s="4" t="str">
        <f>"81983715228"</f>
        <v>81983715228</v>
      </c>
      <c r="C213" t="str">
        <f>"EVERYDAY COUNTER-RELATIVE BD GRANDSON -A PKG/6-J2748"</f>
        <v>EVERYDAY COUNTER-RELATIVE BD GRANDSON -A PKG/6-J2748</v>
      </c>
      <c r="D213" s="3" t="str">
        <f>"J2748"</f>
        <v>J2748</v>
      </c>
      <c r="E213" s="3" t="str">
        <f>"ED28B094"</f>
        <v>ED28B094</v>
      </c>
    </row>
    <row r="214" spans="1:5" x14ac:dyDescent="0.25">
      <c r="A214" s="3" t="str">
        <f>"349471"</f>
        <v>349471</v>
      </c>
      <c r="B214" s="4" t="str">
        <f>"81983778087"</f>
        <v>81983778087</v>
      </c>
      <c r="C214" t="str">
        <f>"EVERYDAY COUNTER-RELATIVE BIRTHDAY PKG/6-U0429"</f>
        <v>EVERYDAY COUNTER-RELATIVE BIRTHDAY PKG/6-U0429</v>
      </c>
      <c r="D214" s="3" t="str">
        <f>"U0429"</f>
        <v>U0429</v>
      </c>
      <c r="E214" s="3" t="str">
        <f>"ED28B095"</f>
        <v>ED28B095</v>
      </c>
    </row>
    <row r="215" spans="1:5" x14ac:dyDescent="0.25">
      <c r="A215" s="3" t="str">
        <f>"349482"</f>
        <v>349482</v>
      </c>
      <c r="B215" s="4" t="str">
        <f>"81983777905"</f>
        <v>81983777905</v>
      </c>
      <c r="C215" t="str">
        <f>"EVERYDAY COUNTER-BIRTHDAY PKG/6-U0411"</f>
        <v>EVERYDAY COUNTER-BIRTHDAY PKG/6-U0411</v>
      </c>
      <c r="D215" s="3" t="str">
        <f>"U0411"</f>
        <v>U0411</v>
      </c>
      <c r="E215" s="3" t="str">
        <f>"ED28B096"</f>
        <v>ED28B096</v>
      </c>
    </row>
    <row r="216" spans="1:5" x14ac:dyDescent="0.25">
      <c r="A216" s="3" t="str">
        <f>"308378"</f>
        <v>308378</v>
      </c>
      <c r="B216" s="4" t="str">
        <f>"81983714870"</f>
        <v>81983714870</v>
      </c>
      <c r="C216" t="str">
        <f>"EVERYDAY COUNTER-BD GENERAL FEMININE PKG/6-J2713"</f>
        <v>EVERYDAY COUNTER-BD GENERAL FEMININE PKG/6-J2713</v>
      </c>
      <c r="D216" s="3" t="str">
        <f>"J2713"</f>
        <v>J2713</v>
      </c>
      <c r="E216" s="3" t="str">
        <f>"ED28B097"</f>
        <v>ED28B097</v>
      </c>
    </row>
    <row r="217" spans="1:5" x14ac:dyDescent="0.25">
      <c r="A217" s="3" t="str">
        <f>"279703"</f>
        <v>279703</v>
      </c>
      <c r="B217" s="4" t="str">
        <f>"81983763915"</f>
        <v>81983763915</v>
      </c>
      <c r="C217" t="str">
        <f>"EVERYDAY COUNTER-BIRTHDAY-FEMININE PKG/6-J9002"</f>
        <v>EVERYDAY COUNTER-BIRTHDAY-FEMININE PKG/6-J9002</v>
      </c>
      <c r="D217" s="3" t="str">
        <f>"J9002"</f>
        <v>J9002</v>
      </c>
      <c r="E217" s="3" t="str">
        <f>"ED28B098"</f>
        <v>ED28B098</v>
      </c>
    </row>
    <row r="218" spans="1:5" x14ac:dyDescent="0.25">
      <c r="A218" s="3" t="str">
        <f>"279751"</f>
        <v>279751</v>
      </c>
      <c r="B218" s="4" t="str">
        <f>"81983764288"</f>
        <v>81983764288</v>
      </c>
      <c r="C218" t="str">
        <f>"EVERYDAY COUNTER-RELATIVE BD NEPHEW PKG/6-J9039"</f>
        <v>EVERYDAY COUNTER-RELATIVE BD NEPHEW PKG/6-J9039</v>
      </c>
      <c r="D218" s="3" t="str">
        <f>"J9039"</f>
        <v>J9039</v>
      </c>
      <c r="E218" s="3" t="str">
        <f>"ED28B099"</f>
        <v>ED28B099</v>
      </c>
    </row>
    <row r="219" spans="1:5" x14ac:dyDescent="0.25">
      <c r="A219" s="3" t="str">
        <f>"308424"</f>
        <v>308424</v>
      </c>
      <c r="B219" s="4" t="str">
        <f>"81983774188"</f>
        <v>81983774188</v>
      </c>
      <c r="C219" t="str">
        <f>"EVERYDAY COUNTER-RELATIVE BD SON- JUV PKG/6"</f>
        <v>EVERYDAY COUNTER-RELATIVE BD SON- JUV PKG/6</v>
      </c>
      <c r="D219" s="3" t="str">
        <f>"J2770"</f>
        <v>J2770</v>
      </c>
      <c r="E219" s="3" t="str">
        <f>"ED28B100"</f>
        <v>ED28B100</v>
      </c>
    </row>
    <row r="220" spans="1:5" x14ac:dyDescent="0.25">
      <c r="A220" s="3" t="str">
        <f>"349518"</f>
        <v>349518</v>
      </c>
      <c r="B220" s="4" t="str">
        <f>"81983778292"</f>
        <v>81983778292</v>
      </c>
      <c r="C220" t="str">
        <f>"EVERYDAY COUNTER-RELATIVE BIRTHDAY PKG/6-U0450"</f>
        <v>EVERYDAY COUNTER-RELATIVE BIRTHDAY PKG/6-U0450</v>
      </c>
      <c r="D220" s="3" t="str">
        <f>"U0450"</f>
        <v>U0450</v>
      </c>
      <c r="E220" s="3" t="str">
        <f>"ED28B101"</f>
        <v>ED28B101</v>
      </c>
    </row>
    <row r="221" spans="1:5" x14ac:dyDescent="0.25">
      <c r="A221" s="3" t="str">
        <f>"279528"</f>
        <v>279528</v>
      </c>
      <c r="B221" s="4" t="str">
        <f>"81983738845"</f>
        <v>81983738845</v>
      </c>
      <c r="C221" t="str">
        <f>"EVERYDAY COUNTER-REL BD SON-IN-LAW PKG/6-J5551"</f>
        <v>EVERYDAY COUNTER-REL BD SON-IN-LAW PKG/6-J5551</v>
      </c>
      <c r="D221" s="3" t="str">
        <f>"J5551"</f>
        <v>J5551</v>
      </c>
      <c r="E221" s="3" t="str">
        <f>"ED28B102"</f>
        <v>ED28B102</v>
      </c>
    </row>
    <row r="222" spans="1:5" x14ac:dyDescent="0.25">
      <c r="A222" s="3" t="str">
        <f>"349470"</f>
        <v>349470</v>
      </c>
      <c r="B222" s="4" t="str">
        <f>"81983778094"</f>
        <v>81983778094</v>
      </c>
      <c r="C222" t="str">
        <f>"EVERYDAY COUNTER-RELATIVE BIRTHDAY PKG/6-U0430"</f>
        <v>EVERYDAY COUNTER-RELATIVE BIRTHDAY PKG/6-U0430</v>
      </c>
      <c r="D222" s="3" t="str">
        <f>"U0430"</f>
        <v>U0430</v>
      </c>
      <c r="E222" s="3" t="str">
        <f>"ED28B103"</f>
        <v>ED28B103</v>
      </c>
    </row>
    <row r="223" spans="1:5" x14ac:dyDescent="0.25">
      <c r="A223" s="3" t="str">
        <f>"307962"</f>
        <v>307962</v>
      </c>
      <c r="B223" s="4" t="str">
        <f>"81983678547"</f>
        <v>81983678547</v>
      </c>
      <c r="C223" t="str">
        <f>"EVERYDAY COUNTER-GRANDSON BIRTHDAY-55102"</f>
        <v>EVERYDAY COUNTER-GRANDSON BIRTHDAY-55102</v>
      </c>
      <c r="D223" s="3" t="str">
        <f>"55102"</f>
        <v>55102</v>
      </c>
      <c r="E223" s="3" t="str">
        <f>"ED28B104"</f>
        <v>ED28B104</v>
      </c>
    </row>
    <row r="224" spans="1:5" x14ac:dyDescent="0.25">
      <c r="A224" s="3" t="str">
        <f>"308387"</f>
        <v>308387</v>
      </c>
      <c r="B224" s="4" t="str">
        <f>"81983714955"</f>
        <v>81983714955</v>
      </c>
      <c r="C224" t="str">
        <f>"EVERYDAY COUNTER-BIRTHDAY GENERAL FOR ANYONE PKG/6-J2721"</f>
        <v>EVERYDAY COUNTER-BIRTHDAY GENERAL FOR ANYONE PKG/6-J2721</v>
      </c>
      <c r="D224" s="3" t="str">
        <f>"J2721"</f>
        <v>J2721</v>
      </c>
      <c r="E224" s="3" t="str">
        <f>"ED28B105"</f>
        <v>ED28B105</v>
      </c>
    </row>
    <row r="225" spans="1:5" x14ac:dyDescent="0.25">
      <c r="A225" s="3" t="str">
        <f>"279705"</f>
        <v>279705</v>
      </c>
      <c r="B225" s="4" t="str">
        <f>"81983773044"</f>
        <v>81983773044</v>
      </c>
      <c r="C225" t="str">
        <f>"EVERYDAY COUNTER-BIRTHDAY-FEMININE PKG/6-J9003"</f>
        <v>EVERYDAY COUNTER-BIRTHDAY-FEMININE PKG/6-J9003</v>
      </c>
      <c r="D225" s="3" t="s">
        <v>21</v>
      </c>
      <c r="E225" s="3" t="str">
        <f>"ED28B106"</f>
        <v>ED28B106</v>
      </c>
    </row>
    <row r="226" spans="1:5" x14ac:dyDescent="0.25">
      <c r="A226" s="3" t="str">
        <f>"308379"</f>
        <v>308379</v>
      </c>
      <c r="B226" s="4" t="str">
        <f>"81983714887"</f>
        <v>81983714887</v>
      </c>
      <c r="C226" t="str">
        <f>"EVERYDAY COUNTER-BD GENERAL FEMININE PKG/6-J2714"</f>
        <v>EVERYDAY COUNTER-BD GENERAL FEMININE PKG/6-J2714</v>
      </c>
      <c r="D226" s="3" t="str">
        <f>"J2714"</f>
        <v>J2714</v>
      </c>
      <c r="E226" s="3" t="str">
        <f>"ED28B107"</f>
        <v>ED28B107</v>
      </c>
    </row>
    <row r="227" spans="1:5" x14ac:dyDescent="0.25">
      <c r="A227" s="3" t="str">
        <f>"279530"</f>
        <v>279530</v>
      </c>
      <c r="B227" s="4" t="str">
        <f>"81983738869"</f>
        <v>81983738869</v>
      </c>
      <c r="C227" t="str">
        <f>"EVERYDAY COUNTER-REL BD UNCLE FROM CHILD PKG/6-J5553"</f>
        <v>EVERYDAY COUNTER-REL BD UNCLE FROM CHILD PKG/6-J5553</v>
      </c>
      <c r="D227" s="3" t="str">
        <f>"J5553"</f>
        <v>J5553</v>
      </c>
      <c r="E227" s="3" t="str">
        <f>"ED28B108"</f>
        <v>ED28B108</v>
      </c>
    </row>
    <row r="228" spans="1:5" x14ac:dyDescent="0.25">
      <c r="A228" s="3" t="str">
        <f>"279531"</f>
        <v>279531</v>
      </c>
      <c r="B228" s="4" t="str">
        <f>"81983738876"</f>
        <v>81983738876</v>
      </c>
      <c r="C228" t="str">
        <f>"EVERYDAY COUNTER-REL BD UNCLE PKG/6-J5554"</f>
        <v>EVERYDAY COUNTER-REL BD UNCLE PKG/6-J5554</v>
      </c>
      <c r="D228" s="3" t="str">
        <f>"J5554"</f>
        <v>J5554</v>
      </c>
      <c r="E228" s="3" t="str">
        <f>"ED28B109"</f>
        <v>ED28B109</v>
      </c>
    </row>
    <row r="229" spans="1:5" x14ac:dyDescent="0.25">
      <c r="A229" s="3" t="str">
        <f>"298714"</f>
        <v>298714</v>
      </c>
      <c r="B229" s="4" t="str">
        <f>"81983652721"</f>
        <v>81983652721</v>
      </c>
      <c r="C229" t="str">
        <f>"EVERYDAY COUNTER-BIRTHDAY SON IN LAW PKG/6-10299"</f>
        <v>EVERYDAY COUNTER-BIRTHDAY SON IN LAW PKG/6-10299</v>
      </c>
      <c r="D229" s="3" t="str">
        <f>"10299"</f>
        <v>10299</v>
      </c>
      <c r="E229" s="3" t="str">
        <f>"ED28B110"</f>
        <v>ED28B110</v>
      </c>
    </row>
    <row r="230" spans="1:5" x14ac:dyDescent="0.25">
      <c r="A230" s="3" t="str">
        <f>"279766"</f>
        <v>279766</v>
      </c>
      <c r="B230" s="4" t="str">
        <f>"81983764394"</f>
        <v>81983764394</v>
      </c>
      <c r="C230" t="str">
        <f>"EVERYDAY COUNTER-RELATIVE BD SON-IN-LAW PKG/6-J9050"</f>
        <v>EVERYDAY COUNTER-RELATIVE BD SON-IN-LAW PKG/6-J9050</v>
      </c>
      <c r="D230" s="3" t="str">
        <f>"J9050"</f>
        <v>J9050</v>
      </c>
      <c r="E230" s="3" t="str">
        <f>"ED28B111"</f>
        <v>ED28B111</v>
      </c>
    </row>
    <row r="231" spans="1:5" x14ac:dyDescent="0.25">
      <c r="A231" s="3" t="str">
        <f>"307894"</f>
        <v>307894</v>
      </c>
      <c r="B231" s="4" t="str">
        <f>"81983678479"</f>
        <v>81983678479</v>
      </c>
      <c r="C231" t="str">
        <f>"EVERYDAY COUNTER-RELATIVE BDAY-GRANDSON-44141"</f>
        <v>EVERYDAY COUNTER-RELATIVE BDAY-GRANDSON-44141</v>
      </c>
      <c r="D231" s="3" t="str">
        <f>"44141"</f>
        <v>44141</v>
      </c>
      <c r="E231" s="3" t="str">
        <f>"ED28B112"</f>
        <v>ED28B112</v>
      </c>
    </row>
    <row r="232" spans="1:5" x14ac:dyDescent="0.25">
      <c r="A232" s="3" t="str">
        <f>"308138"</f>
        <v>308138</v>
      </c>
      <c r="B232" s="4" t="str">
        <f>"81983429194"</f>
        <v>81983429194</v>
      </c>
      <c r="C232" t="str">
        <f>"EVERYDAY COUNTER-RELATIVE BIRTHDAY GRANDSON-80461"</f>
        <v>EVERYDAY COUNTER-RELATIVE BIRTHDAY GRANDSON-80461</v>
      </c>
      <c r="D232" s="3" t="str">
        <f>"80461"</f>
        <v>80461</v>
      </c>
      <c r="E232" s="3" t="str">
        <f>"ED28B113"</f>
        <v>ED28B113</v>
      </c>
    </row>
    <row r="233" spans="1:5" x14ac:dyDescent="0.25">
      <c r="A233" s="3" t="str">
        <f>"308032"</f>
        <v>308032</v>
      </c>
      <c r="B233" s="4" t="str">
        <f>"81983773761"</f>
        <v>81983773761</v>
      </c>
      <c r="C233" t="str">
        <f>"EVERYDAY COUNTER-GREAT GRANDSON (JUV) BIRTHDAY-66685"</f>
        <v>EVERYDAY COUNTER-GREAT GRANDSON (JUV) BIRTHDAY-66685</v>
      </c>
      <c r="D233" s="3" t="str">
        <f>"66685"</f>
        <v>66685</v>
      </c>
      <c r="E233" s="3" t="str">
        <f>"ED28B114"</f>
        <v>ED28B114</v>
      </c>
    </row>
    <row r="234" spans="1:5" x14ac:dyDescent="0.25">
      <c r="A234" s="3" t="str">
        <f>"308382"</f>
        <v>308382</v>
      </c>
      <c r="B234" s="4" t="str">
        <f>"81983714917"</f>
        <v>81983714917</v>
      </c>
      <c r="C234" t="str">
        <f>"EVERYDAY COUNTER-BD GENERAL FEMININE PKG/6-J2717"</f>
        <v>EVERYDAY COUNTER-BD GENERAL FEMININE PKG/6-J2717</v>
      </c>
      <c r="D234" s="3" t="str">
        <f>"J2717"</f>
        <v>J2717</v>
      </c>
      <c r="E234" s="3" t="str">
        <f>"ED28B115"</f>
        <v>ED28B115</v>
      </c>
    </row>
    <row r="235" spans="1:5" x14ac:dyDescent="0.25">
      <c r="A235" s="3" t="str">
        <f>"279470"</f>
        <v>279470</v>
      </c>
      <c r="B235" s="4" t="str">
        <f>"81983738401"</f>
        <v>81983738401</v>
      </c>
      <c r="C235" t="str">
        <f>"EVERYDAY COUNTER-BIRTHDAY GEN FEM PKG/6-J5507"</f>
        <v>EVERYDAY COUNTER-BIRTHDAY GEN FEM PKG/6-J5507</v>
      </c>
      <c r="D235" s="3" t="str">
        <f>"J5507"</f>
        <v>J5507</v>
      </c>
      <c r="E235" s="3" t="str">
        <f>"ED28B116"</f>
        <v>ED28B116</v>
      </c>
    </row>
    <row r="236" spans="1:5" x14ac:dyDescent="0.25">
      <c r="A236" s="3" t="str">
        <f>"298739"</f>
        <v>298739</v>
      </c>
      <c r="B236" s="4" t="str">
        <f>"81983678301"</f>
        <v>81983678301</v>
      </c>
      <c r="C236" t="str">
        <f>"EVERYDAY COUNTER-BIRTHDAY-FEM-11717"</f>
        <v>EVERYDAY COUNTER-BIRTHDAY-FEM-11717</v>
      </c>
      <c r="D236" s="3" t="str">
        <f>"11717"</f>
        <v>11717</v>
      </c>
      <c r="E236" s="3" t="str">
        <f>"ED28C001"</f>
        <v>ED28C001</v>
      </c>
    </row>
    <row r="237" spans="1:5" x14ac:dyDescent="0.25">
      <c r="A237" s="3" t="str">
        <f>"279700"</f>
        <v>279700</v>
      </c>
      <c r="B237" s="4" t="str">
        <f>"81983773013"</f>
        <v>81983773013</v>
      </c>
      <c r="C237" t="str">
        <f>"EVERYDAY COUNTER-BIRTHDAY-FEMININE PKG/6-J8999"</f>
        <v>EVERYDAY COUNTER-BIRTHDAY-FEMININE PKG/6-J8999</v>
      </c>
      <c r="D237" s="3" t="s">
        <v>22</v>
      </c>
      <c r="E237" s="3" t="str">
        <f>"ED28C002"</f>
        <v>ED28C002</v>
      </c>
    </row>
    <row r="238" spans="1:5" x14ac:dyDescent="0.25">
      <c r="A238" s="3" t="str">
        <f>"308177"</f>
        <v>308177</v>
      </c>
      <c r="B238" s="4" t="str">
        <f>"81983528941"</f>
        <v>81983528941</v>
      </c>
      <c r="C238" t="str">
        <f>"EVERYDAY COUNTER-BD SPECIAL FRIEND-84665"</f>
        <v>EVERYDAY COUNTER-BD SPECIAL FRIEND-84665</v>
      </c>
      <c r="D238" s="3" t="str">
        <f>"84665"</f>
        <v>84665</v>
      </c>
      <c r="E238" s="3" t="str">
        <f>"ED28C003"</f>
        <v>ED28C003</v>
      </c>
    </row>
    <row r="239" spans="1:5" x14ac:dyDescent="0.25">
      <c r="A239" s="3" t="str">
        <f>"349541"</f>
        <v>349541</v>
      </c>
      <c r="B239" s="4" t="str">
        <f>"81983778391"</f>
        <v>81983778391</v>
      </c>
      <c r="C239" t="str">
        <f>"EVERYDAY COUNTER-BIRTHDAY PKG/2-U0470"</f>
        <v>EVERYDAY COUNTER-BIRTHDAY PKG/2-U0470</v>
      </c>
      <c r="D239" s="3" t="s">
        <v>44</v>
      </c>
      <c r="E239" s="3" t="str">
        <f>"ED28C004"</f>
        <v>ED28C004</v>
      </c>
    </row>
    <row r="240" spans="1:5" x14ac:dyDescent="0.25">
      <c r="A240" s="3" t="str">
        <f>"349542"</f>
        <v>349542</v>
      </c>
      <c r="B240" s="4" t="str">
        <f>"81983778407"</f>
        <v>81983778407</v>
      </c>
      <c r="C240" t="str">
        <f>"EVERYDAY COUNTER-BIRTHDAY PKG/2-U0471"</f>
        <v>EVERYDAY COUNTER-BIRTHDAY PKG/2-U0471</v>
      </c>
      <c r="D240" s="3" t="s">
        <v>45</v>
      </c>
      <c r="E240" s="3" t="str">
        <f>"ED28C005"</f>
        <v>ED28C005</v>
      </c>
    </row>
    <row r="241" spans="1:5" x14ac:dyDescent="0.25">
      <c r="A241" s="3" t="str">
        <f>"349468"</f>
        <v>349468</v>
      </c>
      <c r="B241" s="4" t="str">
        <f>"81983777745"</f>
        <v>81983777745</v>
      </c>
      <c r="C241" t="str">
        <f>"EVERYDAY COUNTER-BIRTHDAY PKG/6-U0395"</f>
        <v>EVERYDAY COUNTER-BIRTHDAY PKG/6-U0395</v>
      </c>
      <c r="D241" s="3" t="str">
        <f>"U0395"</f>
        <v>U0395</v>
      </c>
      <c r="E241" s="3" t="str">
        <f>"ED28C006"</f>
        <v>ED28C006</v>
      </c>
    </row>
    <row r="242" spans="1:5" x14ac:dyDescent="0.25">
      <c r="A242" s="3" t="str">
        <f>"349503"</f>
        <v>349503</v>
      </c>
      <c r="B242" s="4" t="str">
        <f>"81983777639"</f>
        <v>81983777639</v>
      </c>
      <c r="C242" t="str">
        <f>"EVERYDAY COUNTER-BIRTHDAY PKG/6-U0384"</f>
        <v>EVERYDAY COUNTER-BIRTHDAY PKG/6-U0384</v>
      </c>
      <c r="D242" s="3" t="str">
        <f>"U0384"</f>
        <v>U0384</v>
      </c>
      <c r="E242" s="3" t="str">
        <f>"ED28C007"</f>
        <v>ED28C007</v>
      </c>
    </row>
    <row r="243" spans="1:5" x14ac:dyDescent="0.25">
      <c r="A243" s="3" t="str">
        <f>"308481"</f>
        <v>308481</v>
      </c>
      <c r="B243" s="4" t="str">
        <f>"81983774881"</f>
        <v>81983774881</v>
      </c>
      <c r="C243" t="str">
        <f>"EVERYDAY COUNTER-WEDDING/WEDDING CAKE-WITH JOY PKG/6-J3472"</f>
        <v>EVERYDAY COUNTER-WEDDING/WEDDING CAKE-WITH JOY PKG/6-J3472</v>
      </c>
      <c r="D243" s="3" t="str">
        <f>"J3472"</f>
        <v>J3472</v>
      </c>
      <c r="E243" s="3" t="str">
        <f>"ED28C008"</f>
        <v>ED28C008</v>
      </c>
    </row>
    <row r="244" spans="1:5" x14ac:dyDescent="0.25">
      <c r="A244" s="3" t="str">
        <f>"279701"</f>
        <v>279701</v>
      </c>
      <c r="B244" s="4" t="str">
        <f>"81983773020"</f>
        <v>81983773020</v>
      </c>
      <c r="C244" t="str">
        <f>"EVERYDAY COUNTER-BIRTHDAY-FEMININE PKG/6-J9000"</f>
        <v>EVERYDAY COUNTER-BIRTHDAY-FEMININE PKG/6-J9000</v>
      </c>
      <c r="D244" s="3" t="s">
        <v>23</v>
      </c>
      <c r="E244" s="3" t="str">
        <f>"ED28C009"</f>
        <v>ED28C009</v>
      </c>
    </row>
    <row r="245" spans="1:5" x14ac:dyDescent="0.25">
      <c r="A245" s="3" t="str">
        <f>"349476"</f>
        <v>349476</v>
      </c>
      <c r="B245" s="4" t="str">
        <f>"81983777776"</f>
        <v>81983777776</v>
      </c>
      <c r="C245" t="str">
        <f>"EVERYDAY COUNTER-BIRTHDAY PKG/6-U0398"</f>
        <v>EVERYDAY COUNTER-BIRTHDAY PKG/6-U0398</v>
      </c>
      <c r="D245" s="3" t="s">
        <v>24</v>
      </c>
      <c r="E245" s="3" t="str">
        <f>"ED28C010"</f>
        <v>ED28C010</v>
      </c>
    </row>
    <row r="246" spans="1:5" x14ac:dyDescent="0.25">
      <c r="A246" s="3" t="str">
        <f>"308399"</f>
        <v>308399</v>
      </c>
      <c r="B246" s="4" t="str">
        <f>"81983773235"</f>
        <v>81983773235</v>
      </c>
      <c r="C246" t="str">
        <f>"EVERYDAY COUNTER-BIRTHDAY SPECIAL FRIEND FEM PKG/6-J2731"</f>
        <v>EVERYDAY COUNTER-BIRTHDAY SPECIAL FRIEND FEM PKG/6-J2731</v>
      </c>
      <c r="D246" s="3" t="s">
        <v>25</v>
      </c>
      <c r="E246" s="3" t="str">
        <f>"ED28C011"</f>
        <v>ED28C011</v>
      </c>
    </row>
    <row r="247" spans="1:5" x14ac:dyDescent="0.25">
      <c r="A247" s="3" t="str">
        <f>"349543"</f>
        <v>349543</v>
      </c>
      <c r="B247" s="4" t="str">
        <f>"81983778414"</f>
        <v>81983778414</v>
      </c>
      <c r="C247" t="str">
        <f>"EVERYDAY COUNTER-BIRTHDAY PKG/2-U0472"</f>
        <v>EVERYDAY COUNTER-BIRTHDAY PKG/2-U0472</v>
      </c>
      <c r="D247" s="3" t="s">
        <v>46</v>
      </c>
      <c r="E247" s="3" t="str">
        <f>"ED28C012"</f>
        <v>ED28C012</v>
      </c>
    </row>
    <row r="248" spans="1:5" x14ac:dyDescent="0.25">
      <c r="A248" s="3" t="str">
        <f>"349545"</f>
        <v>349545</v>
      </c>
      <c r="B248" s="4" t="str">
        <f>"81983778421"</f>
        <v>81983778421</v>
      </c>
      <c r="C248" t="str">
        <f>"EVERYDAY COUNTER-BIRTHDAY PKG/2-U0473"</f>
        <v>EVERYDAY COUNTER-BIRTHDAY PKG/2-U0473</v>
      </c>
      <c r="D248" s="3" t="s">
        <v>47</v>
      </c>
      <c r="E248" s="3" t="str">
        <f>"ED28C013"</f>
        <v>ED28C013</v>
      </c>
    </row>
    <row r="249" spans="1:5" x14ac:dyDescent="0.25">
      <c r="A249" s="3" t="str">
        <f>"349467"</f>
        <v>349467</v>
      </c>
      <c r="B249" s="4" t="str">
        <f>"81983777752"</f>
        <v>81983777752</v>
      </c>
      <c r="C249" t="str">
        <f>"EVERYDAY COUNTER-BIRTHDAY PKG/6-U0396"</f>
        <v>EVERYDAY COUNTER-BIRTHDAY PKG/6-U0396</v>
      </c>
      <c r="D249" s="3" t="str">
        <f>"U0396"</f>
        <v>U0396</v>
      </c>
      <c r="E249" s="3" t="str">
        <f>"ED28C014"</f>
        <v>ED28C014</v>
      </c>
    </row>
    <row r="250" spans="1:5" x14ac:dyDescent="0.25">
      <c r="A250" s="3" t="str">
        <f>"349495"</f>
        <v>349495</v>
      </c>
      <c r="B250" s="4" t="str">
        <f>"81983777646"</f>
        <v>81983777646</v>
      </c>
      <c r="C250" t="str">
        <f>"EVERYDAY COUNTER-BIRTHDAY PKG/6-U0385"</f>
        <v>EVERYDAY COUNTER-BIRTHDAY PKG/6-U0385</v>
      </c>
      <c r="D250" s="3" t="str">
        <f>"U0385"</f>
        <v>U0385</v>
      </c>
      <c r="E250" s="3" t="str">
        <f>"ED28C015"</f>
        <v>ED28C015</v>
      </c>
    </row>
    <row r="251" spans="1:5" x14ac:dyDescent="0.25">
      <c r="A251" s="3" t="str">
        <f>"308121"</f>
        <v>308121</v>
      </c>
      <c r="B251" s="4" t="str">
        <f>"81983603167"</f>
        <v>81983603167</v>
      </c>
      <c r="C251" t="str">
        <f>"EVERYDAY COUNTER-WEDDING-78858"</f>
        <v>EVERYDAY COUNTER-WEDDING-78858</v>
      </c>
      <c r="D251" s="3" t="str">
        <f>"78858"</f>
        <v>78858</v>
      </c>
      <c r="E251" s="3" t="str">
        <f>"ED28C016"</f>
        <v>ED28C016</v>
      </c>
    </row>
    <row r="252" spans="1:5" x14ac:dyDescent="0.25">
      <c r="A252" s="3" t="str">
        <f>"308273"</f>
        <v>308273</v>
      </c>
      <c r="B252" s="4" t="str">
        <f>"81983682490"</f>
        <v>81983682490</v>
      </c>
      <c r="C252" t="str">
        <f>"EVERYDAY COUNTER-BIRTHDAY-FEMININE PKG/6-J0023"</f>
        <v>EVERYDAY COUNTER-BIRTHDAY-FEMININE PKG/6-J0023</v>
      </c>
      <c r="D252" s="3" t="str">
        <f>"J0023"</f>
        <v>J0023</v>
      </c>
      <c r="E252" s="3" t="str">
        <f>"ED28C017"</f>
        <v>ED28C017</v>
      </c>
    </row>
    <row r="253" spans="1:5" x14ac:dyDescent="0.25">
      <c r="A253" s="3" t="str">
        <f>"308374"</f>
        <v>308374</v>
      </c>
      <c r="B253" s="4" t="str">
        <f>"81983773068"</f>
        <v>81983773068</v>
      </c>
      <c r="C253" t="str">
        <f>"EVERYDAY COUNTER-BD GENERAL FEMININE MED PKG/6-J2710"</f>
        <v>EVERYDAY COUNTER-BD GENERAL FEMININE MED PKG/6-J2710</v>
      </c>
      <c r="D253" s="3" t="str">
        <f>"J2710"</f>
        <v>J2710</v>
      </c>
      <c r="E253" s="3" t="str">
        <f>"ED28C018"</f>
        <v>ED28C018</v>
      </c>
    </row>
    <row r="254" spans="1:5" x14ac:dyDescent="0.25">
      <c r="A254" s="3" t="str">
        <f>"349522"</f>
        <v>349522</v>
      </c>
      <c r="B254" s="4" t="str">
        <f>"81983777936"</f>
        <v>81983777936</v>
      </c>
      <c r="C254" t="str">
        <f>"EVERYDAY COUNTER-BIRTHDAY PKG/6-U0414"</f>
        <v>EVERYDAY COUNTER-BIRTHDAY PKG/6-U0414</v>
      </c>
      <c r="D254" s="3" t="str">
        <f>"U0414"</f>
        <v>U0414</v>
      </c>
      <c r="E254" s="3" t="str">
        <f>"ED28C019"</f>
        <v>ED28C019</v>
      </c>
    </row>
    <row r="255" spans="1:5" x14ac:dyDescent="0.25">
      <c r="A255" s="3" t="str">
        <f>"349525"</f>
        <v>349525</v>
      </c>
      <c r="B255" s="4" t="str">
        <f>"81983778438"</f>
        <v>81983778438</v>
      </c>
      <c r="C255" t="str">
        <f>"EVERYDAY COUNTER-BIRTHDAY PKG/6-U0474"</f>
        <v>EVERYDAY COUNTER-BIRTHDAY PKG/6-U0474</v>
      </c>
      <c r="D255" s="3" t="s">
        <v>48</v>
      </c>
      <c r="E255" s="3" t="str">
        <f>"ED28C020"</f>
        <v>ED28C020</v>
      </c>
    </row>
    <row r="256" spans="1:5" x14ac:dyDescent="0.25">
      <c r="A256" s="3" t="str">
        <f>"349526"</f>
        <v>349526</v>
      </c>
      <c r="B256" s="4" t="str">
        <f>"81983778445"</f>
        <v>81983778445</v>
      </c>
      <c r="C256" t="str">
        <f>"EVERYDAY COUNTER-BIRTHDAY PKG/6-U0475"</f>
        <v>EVERYDAY COUNTER-BIRTHDAY PKG/6-U0475</v>
      </c>
      <c r="D256" s="3" t="s">
        <v>49</v>
      </c>
      <c r="E256" s="3" t="str">
        <f>"ED28C021"</f>
        <v>ED28C021</v>
      </c>
    </row>
    <row r="257" spans="1:5" x14ac:dyDescent="0.25">
      <c r="A257" s="3" t="str">
        <f>"308371"</f>
        <v>308371</v>
      </c>
      <c r="B257" s="4" t="str">
        <f>"81983773006"</f>
        <v>81983773006</v>
      </c>
      <c r="C257" t="str">
        <f>"EVERYDAY COUNTER-BD GIRL PKG/6-J2707"</f>
        <v>EVERYDAY COUNTER-BD GIRL PKG/6-J2707</v>
      </c>
      <c r="D257" s="3" t="str">
        <f>"J2707"</f>
        <v>J2707</v>
      </c>
      <c r="E257" s="3" t="str">
        <f>"ED28C022"</f>
        <v>ED28C022</v>
      </c>
    </row>
    <row r="258" spans="1:5" x14ac:dyDescent="0.25">
      <c r="A258" s="3" t="str">
        <f>"308343"</f>
        <v>308343</v>
      </c>
      <c r="B258" s="4" t="str">
        <f>"81983717789"</f>
        <v>81983717789</v>
      </c>
      <c r="C258" t="str">
        <f>"EVERYDAY COUNTER-BIRTHDAY HUMOR PKG/6-J0373"</f>
        <v>EVERYDAY COUNTER-BIRTHDAY HUMOR PKG/6-J0373</v>
      </c>
      <c r="D258" s="3" t="str">
        <f>"J0373"</f>
        <v>J0373</v>
      </c>
      <c r="E258" s="3" t="str">
        <f>"ED28C023"</f>
        <v>ED28C023</v>
      </c>
    </row>
    <row r="259" spans="1:5" x14ac:dyDescent="0.25">
      <c r="A259" s="3" t="str">
        <f>"308116"</f>
        <v>308116</v>
      </c>
      <c r="B259" s="4" t="str">
        <f>"81983678615"</f>
        <v>81983678615</v>
      </c>
      <c r="C259" t="str">
        <f>"EVERYDAY COUNTER-WEDDING/JOINED TOGETHER RINGS-78842"</f>
        <v>EVERYDAY COUNTER-WEDDING/JOINED TOGETHER RINGS-78842</v>
      </c>
      <c r="D259" s="3" t="str">
        <f>"78842"</f>
        <v>78842</v>
      </c>
      <c r="E259" s="3" t="str">
        <f>"ED28C024"</f>
        <v>ED28C024</v>
      </c>
    </row>
    <row r="260" spans="1:5" x14ac:dyDescent="0.25">
      <c r="A260" s="3" t="str">
        <f>"349477"</f>
        <v>349477</v>
      </c>
      <c r="B260" s="4" t="str">
        <f>"81983777783"</f>
        <v>81983777783</v>
      </c>
      <c r="C260" t="str">
        <f>"EVERYDAY COUNTER-BIRTHDAY PKG/6-U0399"</f>
        <v>EVERYDAY COUNTER-BIRTHDAY PKG/6-U0399</v>
      </c>
      <c r="D260" s="3" t="str">
        <f>"U0399"</f>
        <v>U0399</v>
      </c>
      <c r="E260" s="3" t="str">
        <f>"ED28C025"</f>
        <v>ED28C025</v>
      </c>
    </row>
    <row r="261" spans="1:5" x14ac:dyDescent="0.25">
      <c r="A261" s="3" t="str">
        <f>"308172"</f>
        <v>308172</v>
      </c>
      <c r="B261" s="4" t="str">
        <f>"81983773051"</f>
        <v>81983773051</v>
      </c>
      <c r="C261" t="str">
        <f>"EVERYDAY COUNTER-BD GENERAL FEMININE-84592"</f>
        <v>EVERYDAY COUNTER-BD GENERAL FEMININE-84592</v>
      </c>
      <c r="D261" s="3" t="s">
        <v>26</v>
      </c>
      <c r="E261" s="3" t="str">
        <f>"ED28C026"</f>
        <v>ED28C026</v>
      </c>
    </row>
    <row r="262" spans="1:5" x14ac:dyDescent="0.25">
      <c r="A262" s="3" t="str">
        <f>"308174"</f>
        <v>308174</v>
      </c>
      <c r="B262" s="4" t="str">
        <f>"81983773259"</f>
        <v>81983773259</v>
      </c>
      <c r="C262" t="str">
        <f>"EVERYDAY COUNTER-SPECIAL FRIEND FEMININE-84660"</f>
        <v>EVERYDAY COUNTER-SPECIAL FRIEND FEMININE-84660</v>
      </c>
      <c r="D262" s="3" t="str">
        <f>"84660"</f>
        <v>84660</v>
      </c>
      <c r="E262" s="3" t="str">
        <f>"ED28C027"</f>
        <v>ED28C027</v>
      </c>
    </row>
    <row r="263" spans="1:5" x14ac:dyDescent="0.25">
      <c r="A263" s="3" t="str">
        <f>"349527"</f>
        <v>349527</v>
      </c>
      <c r="B263" s="4" t="str">
        <f>"81983778452"</f>
        <v>81983778452</v>
      </c>
      <c r="C263" t="str">
        <f>"EVERYDAY COUNTER-BIRTHDAY PKG/6-U0476"</f>
        <v>EVERYDAY COUNTER-BIRTHDAY PKG/6-U0476</v>
      </c>
      <c r="D263" s="3" t="s">
        <v>50</v>
      </c>
      <c r="E263" s="3" t="str">
        <f>"ED28C028"</f>
        <v>ED28C028</v>
      </c>
    </row>
    <row r="264" spans="1:5" x14ac:dyDescent="0.25">
      <c r="A264" s="3" t="str">
        <f>"349528"</f>
        <v>349528</v>
      </c>
      <c r="B264" s="4" t="str">
        <f>"81983778469"</f>
        <v>81983778469</v>
      </c>
      <c r="C264" t="str">
        <f>"EVERYDAY COUNTER-BIRTHDAY PKG/6-U0477"</f>
        <v>EVERYDAY COUNTER-BIRTHDAY PKG/6-U0477</v>
      </c>
      <c r="D264" s="3" t="s">
        <v>51</v>
      </c>
      <c r="E264" s="3" t="str">
        <f>"ED28C029"</f>
        <v>ED28C029</v>
      </c>
    </row>
    <row r="265" spans="1:5" x14ac:dyDescent="0.25">
      <c r="A265" s="3" t="str">
        <f>"349466"</f>
        <v>349466</v>
      </c>
      <c r="B265" s="4" t="str">
        <f>"81983777738"</f>
        <v>81983777738</v>
      </c>
      <c r="C265" t="str">
        <f>"EVERYDAY COUNTER-BIRTHDAY PKG/6-U0394"</f>
        <v>EVERYDAY COUNTER-BIRTHDAY PKG/6-U0394</v>
      </c>
      <c r="D265" s="3" t="str">
        <f>"U0394"</f>
        <v>U0394</v>
      </c>
      <c r="E265" s="3" t="str">
        <f>"ED28C030"</f>
        <v>ED28C030</v>
      </c>
    </row>
    <row r="266" spans="1:5" x14ac:dyDescent="0.25">
      <c r="A266" s="3" t="str">
        <f>"349498"</f>
        <v>349498</v>
      </c>
      <c r="B266" s="4" t="str">
        <f>"81983777653"</f>
        <v>81983777653</v>
      </c>
      <c r="C266" t="str">
        <f>"EVERYDAY COUNTER-BIRTHDAY PKG/6-U0386"</f>
        <v>EVERYDAY COUNTER-BIRTHDAY PKG/6-U0386</v>
      </c>
      <c r="D266" s="3" t="str">
        <f>"U0386"</f>
        <v>U0386</v>
      </c>
      <c r="E266" s="3" t="str">
        <f>"ED28C031"</f>
        <v>ED28C031</v>
      </c>
    </row>
    <row r="267" spans="1:5" x14ac:dyDescent="0.25">
      <c r="A267" s="3" t="str">
        <f>"279546"</f>
        <v>279546</v>
      </c>
      <c r="B267" s="4" t="str">
        <f>"81983739002"</f>
        <v>81983739002</v>
      </c>
      <c r="C267" t="str">
        <f>"EVERYDAY COUNTER-WEDDING PKG/6-J5567"</f>
        <v>EVERYDAY COUNTER-WEDDING PKG/6-J5567</v>
      </c>
      <c r="D267" s="3" t="str">
        <f>"J5567"</f>
        <v>J5567</v>
      </c>
      <c r="E267" s="3" t="str">
        <f>"ED28C032"</f>
        <v>ED28C032</v>
      </c>
    </row>
    <row r="268" spans="1:5" x14ac:dyDescent="0.25">
      <c r="A268" s="3" t="str">
        <f>"308274"</f>
        <v>308274</v>
      </c>
      <c r="B268" s="4" t="str">
        <f>"81983773082"</f>
        <v>81983773082</v>
      </c>
      <c r="C268" t="str">
        <f>"EVERYDAY COUNTER-BIRTHDAY-FEMININE PKG/6-J0024"</f>
        <v>EVERYDAY COUNTER-BIRTHDAY-FEMININE PKG/6-J0024</v>
      </c>
      <c r="D268" s="3" t="str">
        <f>"J0024"</f>
        <v>J0024</v>
      </c>
      <c r="E268" s="3" t="str">
        <f>"ED28C033"</f>
        <v>ED28C033</v>
      </c>
    </row>
    <row r="269" spans="1:5" x14ac:dyDescent="0.25">
      <c r="A269" s="3" t="str">
        <f>"298740"</f>
        <v>298740</v>
      </c>
      <c r="B269" s="4" t="str">
        <f>"81983773112"</f>
        <v>81983773112</v>
      </c>
      <c r="C269" t="str">
        <f>"EVERYDAY COUNTER-BIRTHDAY-FEM-11719"</f>
        <v>EVERYDAY COUNTER-BIRTHDAY-FEM-11719</v>
      </c>
      <c r="D269" s="3" t="str">
        <f>"11719"</f>
        <v>11719</v>
      </c>
      <c r="E269" s="3" t="str">
        <f>"ED28C034"</f>
        <v>ED28C034</v>
      </c>
    </row>
    <row r="270" spans="1:5" x14ac:dyDescent="0.25">
      <c r="A270" s="3" t="str">
        <f>"298766"</f>
        <v>298766</v>
      </c>
      <c r="B270" s="4" t="str">
        <f>"81983773273"</f>
        <v>81983773273</v>
      </c>
      <c r="C270" t="str">
        <f>"EVERYDAY COUNTER-BIRTHDAY-SPECIAL FRIEND-11794"</f>
        <v>EVERYDAY COUNTER-BIRTHDAY-SPECIAL FRIEND-11794</v>
      </c>
      <c r="D270" s="3" t="str">
        <f>"11794"</f>
        <v>11794</v>
      </c>
      <c r="E270" s="3" t="str">
        <f>"ED28C035"</f>
        <v>ED28C035</v>
      </c>
    </row>
    <row r="271" spans="1:5" x14ac:dyDescent="0.25">
      <c r="A271" s="3" t="str">
        <f>"349462"</f>
        <v>349462</v>
      </c>
      <c r="B271" s="4" t="str">
        <f>"81983777714"</f>
        <v>81983777714</v>
      </c>
      <c r="C271" t="str">
        <f>"EVERYDAY COUNTER-BIRTHDAY PKG/6-U0392"</f>
        <v>EVERYDAY COUNTER-BIRTHDAY PKG/6-U0392</v>
      </c>
      <c r="D271" s="3" t="str">
        <f>"U0392"</f>
        <v>U0392</v>
      </c>
      <c r="E271" s="3" t="str">
        <f>"ED28C036"</f>
        <v>ED28C036</v>
      </c>
    </row>
    <row r="272" spans="1:5" x14ac:dyDescent="0.25">
      <c r="A272" s="3" t="str">
        <f>"279683"</f>
        <v>279683</v>
      </c>
      <c r="B272" s="4" t="str">
        <f>"81983763755"</f>
        <v>81983763755</v>
      </c>
      <c r="C272" t="str">
        <f>"EVERYDAY COUNTER-BIRTHDAY CHILD 1ST GIRL PKG/6-J8986"</f>
        <v>EVERYDAY COUNTER-BIRTHDAY CHILD 1ST GIRL PKG/6-J8986</v>
      </c>
      <c r="D272" s="3" t="str">
        <f>"J8986"</f>
        <v>J8986</v>
      </c>
      <c r="E272" s="3" t="str">
        <f>"ED28C037"</f>
        <v>ED28C037</v>
      </c>
    </row>
    <row r="273" spans="1:5" x14ac:dyDescent="0.25">
      <c r="A273" s="3" t="str">
        <f>"279688"</f>
        <v>279688</v>
      </c>
      <c r="B273" s="4" t="str">
        <f>"81983763793"</f>
        <v>81983763793</v>
      </c>
      <c r="C273" t="str">
        <f>"EVERYDAY COUNTER-BIRTHDAY CHILD BOY PKG/6-J8990"</f>
        <v>EVERYDAY COUNTER-BIRTHDAY CHILD BOY PKG/6-J8990</v>
      </c>
      <c r="D273" s="3" t="str">
        <f>"J8990"</f>
        <v>J8990</v>
      </c>
      <c r="E273" s="3" t="str">
        <f>"ED28C038"</f>
        <v>ED28C038</v>
      </c>
    </row>
    <row r="274" spans="1:5" x14ac:dyDescent="0.25">
      <c r="A274" s="3" t="str">
        <f>"349496"</f>
        <v>349496</v>
      </c>
      <c r="B274" s="4" t="str">
        <f>"81983777660"</f>
        <v>81983777660</v>
      </c>
      <c r="C274" t="str">
        <f>"EVERYDAY COUNTER-BIRTHDAY PKG/6-U0387"</f>
        <v>EVERYDAY COUNTER-BIRTHDAY PKG/6-U0387</v>
      </c>
      <c r="D274" s="3" t="str">
        <f>"U0387"</f>
        <v>U0387</v>
      </c>
      <c r="E274" s="3" t="str">
        <f>"ED28C039"</f>
        <v>ED28C039</v>
      </c>
    </row>
    <row r="275" spans="1:5" x14ac:dyDescent="0.25">
      <c r="A275" s="3" t="str">
        <f>"345267"</f>
        <v>345267</v>
      </c>
      <c r="B275" s="4" t="str">
        <f>"81983793868"</f>
        <v>81983793868</v>
      </c>
      <c r="C275" t="str">
        <f>"EVERYDAY COUNTER-WEDDING PKG/6-U2602"</f>
        <v>EVERYDAY COUNTER-WEDDING PKG/6-U2602</v>
      </c>
      <c r="D275" s="3" t="str">
        <f>"U2602"</f>
        <v>U2602</v>
      </c>
      <c r="E275" s="3" t="str">
        <f>"ED28C040"</f>
        <v>ED28C040</v>
      </c>
    </row>
    <row r="276" spans="1:5" x14ac:dyDescent="0.25">
      <c r="A276" s="3" t="str">
        <f>"279706"</f>
        <v>279706</v>
      </c>
      <c r="B276" s="4" t="str">
        <f>"81983763939"</f>
        <v>81983763939</v>
      </c>
      <c r="C276" t="str">
        <f>"EVERYDAY COUNTER-BIRTHDAY-FEMININE PKG/6-J9004"</f>
        <v>EVERYDAY COUNTER-BIRTHDAY-FEMININE PKG/6-J9004</v>
      </c>
      <c r="D276" s="3" t="str">
        <f>"J9004"</f>
        <v>J9004</v>
      </c>
      <c r="E276" s="3" t="str">
        <f>"ED28C041"</f>
        <v>ED28C041</v>
      </c>
    </row>
    <row r="277" spans="1:5" x14ac:dyDescent="0.25">
      <c r="A277" s="3" t="str">
        <f>"349480"</f>
        <v>349480</v>
      </c>
      <c r="B277" s="4" t="str">
        <f>"81983777813"</f>
        <v>81983777813</v>
      </c>
      <c r="C277" t="str">
        <f>"EVERYDAY COUNTER-BIRTHDAY PKG/6-U0402"</f>
        <v>EVERYDAY COUNTER-BIRTHDAY PKG/6-U0402</v>
      </c>
      <c r="D277" s="3" t="str">
        <f>"U0402"</f>
        <v>U0402</v>
      </c>
      <c r="E277" s="3" t="str">
        <f>"ED28C042"</f>
        <v>ED28C042</v>
      </c>
    </row>
    <row r="278" spans="1:5" x14ac:dyDescent="0.25">
      <c r="A278" s="3" t="str">
        <f>"308176"</f>
        <v>308176</v>
      </c>
      <c r="B278" s="4" t="str">
        <f>"81983678707"</f>
        <v>81983678707</v>
      </c>
      <c r="C278" t="str">
        <f>"EVERYDAY COUNTER-SPECIAL FRIEND FEMINE-84664"</f>
        <v>EVERYDAY COUNTER-SPECIAL FRIEND FEMINE-84664</v>
      </c>
      <c r="D278" s="3" t="str">
        <f>"84664"</f>
        <v>84664</v>
      </c>
      <c r="E278" s="3" t="str">
        <f>"ED28C043"</f>
        <v>ED28C043</v>
      </c>
    </row>
    <row r="279" spans="1:5" x14ac:dyDescent="0.25">
      <c r="A279" s="3" t="str">
        <f>"349464"</f>
        <v>349464</v>
      </c>
      <c r="B279" s="4" t="str">
        <f>"81983777585"</f>
        <v>81983777585</v>
      </c>
      <c r="C279" t="str">
        <f>"EVERYDAY COUNTER-BIRTHDAY PKG/6-U0379"</f>
        <v>EVERYDAY COUNTER-BIRTHDAY PKG/6-U0379</v>
      </c>
      <c r="D279" s="3" t="str">
        <f>"U0379"</f>
        <v>U0379</v>
      </c>
      <c r="E279" s="3" t="str">
        <f>"ED28C044"</f>
        <v>ED28C044</v>
      </c>
    </row>
    <row r="280" spans="1:5" x14ac:dyDescent="0.25">
      <c r="A280" s="3" t="str">
        <f>"349463"</f>
        <v>349463</v>
      </c>
      <c r="B280" s="4" t="str">
        <f>"81983777578"</f>
        <v>81983777578</v>
      </c>
      <c r="C280" t="str">
        <f>"EVERYDAY COUNTER-BIRTHDAY PKG/6-U0378"</f>
        <v>EVERYDAY COUNTER-BIRTHDAY PKG/6-U0378</v>
      </c>
      <c r="D280" s="3" t="str">
        <f>"U0378"</f>
        <v>U0378</v>
      </c>
      <c r="E280" s="3" t="str">
        <f>"ED28C045"</f>
        <v>ED28C045</v>
      </c>
    </row>
    <row r="281" spans="1:5" x14ac:dyDescent="0.25">
      <c r="A281" s="3" t="str">
        <f>"308370"</f>
        <v>308370</v>
      </c>
      <c r="B281" s="4" t="str">
        <f>"81983772993"</f>
        <v>81983772993</v>
      </c>
      <c r="C281" t="str">
        <f>"EVERYDAY COUNTER-BD BOY PKG/6-J2706"</f>
        <v>EVERYDAY COUNTER-BD BOY PKG/6-J2706</v>
      </c>
      <c r="D281" s="3" t="str">
        <f>"J2706"</f>
        <v>J2706</v>
      </c>
      <c r="E281" s="3" t="str">
        <f>"ED28C046"</f>
        <v>ED28C046</v>
      </c>
    </row>
    <row r="282" spans="1:5" x14ac:dyDescent="0.25">
      <c r="A282" s="3" t="str">
        <f>"349500"</f>
        <v>349500</v>
      </c>
      <c r="B282" s="4" t="str">
        <f>"81983777677"</f>
        <v>81983777677</v>
      </c>
      <c r="C282" t="str">
        <f>"EVERYDAY COUNTER-BIRTHDAY PKG/6-U0388"</f>
        <v>EVERYDAY COUNTER-BIRTHDAY PKG/6-U0388</v>
      </c>
      <c r="D282" s="3" t="str">
        <f>"U0388"</f>
        <v>U0388</v>
      </c>
      <c r="E282" s="3" t="str">
        <f>"ED28C047"</f>
        <v>ED28C047</v>
      </c>
    </row>
    <row r="283" spans="1:5" x14ac:dyDescent="0.25">
      <c r="A283" s="3" t="str">
        <f>"308119"</f>
        <v>308119</v>
      </c>
      <c r="B283" s="4" t="str">
        <f>"81983678639"</f>
        <v>81983678639</v>
      </c>
      <c r="C283" t="str">
        <f>"EVERYDAY COUNTER-WEDDING-78848"</f>
        <v>EVERYDAY COUNTER-WEDDING-78848</v>
      </c>
      <c r="D283" s="3" t="str">
        <f>"78848"</f>
        <v>78848</v>
      </c>
      <c r="E283" s="3" t="str">
        <f>"ED28C048"</f>
        <v>ED28C048</v>
      </c>
    </row>
    <row r="284" spans="1:5" x14ac:dyDescent="0.25">
      <c r="A284" s="3" t="str">
        <f>"308281"</f>
        <v>308281</v>
      </c>
      <c r="B284" s="4" t="str">
        <f>"81983773075"</f>
        <v>81983773075</v>
      </c>
      <c r="C284" t="str">
        <f>"EVERYDAY COUNTER-BIRTHDAY FEMININE SMALL PKG/6-J0308"</f>
        <v>EVERYDAY COUNTER-BIRTHDAY FEMININE SMALL PKG/6-J0308</v>
      </c>
      <c r="D284" s="3" t="str">
        <f>"J0308"</f>
        <v>J0308</v>
      </c>
      <c r="E284" s="3" t="str">
        <f>"ED28C049"</f>
        <v>ED28C049</v>
      </c>
    </row>
    <row r="285" spans="1:5" x14ac:dyDescent="0.25">
      <c r="A285" s="3" t="str">
        <f>"349474"</f>
        <v>349474</v>
      </c>
      <c r="B285" s="4" t="str">
        <f>"81983777820"</f>
        <v>81983777820</v>
      </c>
      <c r="C285" t="str">
        <f>"EVERYDAY COUNTER-BIRTHDAY PKG/6-U0403"</f>
        <v>EVERYDAY COUNTER-BIRTHDAY PKG/6-U0403</v>
      </c>
      <c r="D285" s="3" t="str">
        <f>"U0403"</f>
        <v>U0403</v>
      </c>
      <c r="E285" s="3" t="str">
        <f>"ED28C050"</f>
        <v>ED28C050</v>
      </c>
    </row>
    <row r="286" spans="1:5" x14ac:dyDescent="0.25">
      <c r="A286" s="3" t="str">
        <f>"349521"</f>
        <v>349521</v>
      </c>
      <c r="B286" s="4" t="str">
        <f>"81983777950"</f>
        <v>81983777950</v>
      </c>
      <c r="C286" t="str">
        <f>"EVERYDAY COUNTER-BIRTHDAY PKG/6-U0416"</f>
        <v>EVERYDAY COUNTER-BIRTHDAY PKG/6-U0416</v>
      </c>
      <c r="D286" s="3" t="s">
        <v>27</v>
      </c>
      <c r="E286" s="3" t="str">
        <f>"ED28C051"</f>
        <v>ED28C051</v>
      </c>
    </row>
    <row r="287" spans="1:5" x14ac:dyDescent="0.25">
      <c r="A287" s="3" t="str">
        <f>"279457"</f>
        <v>279457</v>
      </c>
      <c r="B287" s="4" t="str">
        <f>"81983772979"</f>
        <v>81983772979</v>
      </c>
      <c r="C287" t="str">
        <f>"EVERYDAY COUNTER-BIRTHDAY 3RD GIRL PKG/6-J5496"</f>
        <v>EVERYDAY COUNTER-BIRTHDAY 3RD GIRL PKG/6-J5496</v>
      </c>
      <c r="D287" s="3" t="s">
        <v>28</v>
      </c>
      <c r="E287" s="3" t="str">
        <f>"ED28C052"</f>
        <v>ED28C052</v>
      </c>
    </row>
    <row r="288" spans="1:5" x14ac:dyDescent="0.25">
      <c r="A288" s="3" t="str">
        <f>"349465"</f>
        <v>349465</v>
      </c>
      <c r="B288" s="4" t="str">
        <f>"81983777721"</f>
        <v>81983777721</v>
      </c>
      <c r="C288" t="str">
        <f>"EVERYDAY COUNTER-BIRTHDAY PKG/6-U0393"</f>
        <v>EVERYDAY COUNTER-BIRTHDAY PKG/6-U0393</v>
      </c>
      <c r="D288" s="3" t="str">
        <f>"U0393"</f>
        <v>U0393</v>
      </c>
      <c r="E288" s="3" t="str">
        <f>"ED28C053"</f>
        <v>ED28C053</v>
      </c>
    </row>
    <row r="289" spans="1:5" x14ac:dyDescent="0.25">
      <c r="A289" s="3" t="str">
        <f>"279461"</f>
        <v>279461</v>
      </c>
      <c r="B289" s="4" t="str">
        <f>"81983738326"</f>
        <v>81983738326</v>
      </c>
      <c r="C289" t="str">
        <f>"EVERYDAY COUNTER-BIRTHDAY CHILD PKG/6-J5499"</f>
        <v>EVERYDAY COUNTER-BIRTHDAY CHILD PKG/6-J5499</v>
      </c>
      <c r="D289" s="3" t="str">
        <f>"J5499"</f>
        <v>J5499</v>
      </c>
      <c r="E289" s="3" t="str">
        <f>"ED28C054"</f>
        <v>ED28C054</v>
      </c>
    </row>
    <row r="290" spans="1:5" x14ac:dyDescent="0.25">
      <c r="A290" s="3" t="str">
        <f>"349499"</f>
        <v>349499</v>
      </c>
      <c r="B290" s="4" t="str">
        <f>"81983777684"</f>
        <v>81983777684</v>
      </c>
      <c r="C290" t="str">
        <f>"EVERYDAY COUNTER-BIRTHDAY PKG/6-U0389"</f>
        <v>EVERYDAY COUNTER-BIRTHDAY PKG/6-U0389</v>
      </c>
      <c r="D290" s="3" t="str">
        <f>"U0389"</f>
        <v>U0389</v>
      </c>
      <c r="E290" s="3" t="str">
        <f>"ED28C055"</f>
        <v>ED28C055</v>
      </c>
    </row>
    <row r="291" spans="1:5" x14ac:dyDescent="0.25">
      <c r="A291" s="3" t="str">
        <f>"345266"</f>
        <v>345266</v>
      </c>
      <c r="B291" s="4" t="str">
        <f>"81983793851"</f>
        <v>81983793851</v>
      </c>
      <c r="C291" t="str">
        <f>"EVERYDAY COUNTER-WEDDING PKG/6-U2601"</f>
        <v>EVERYDAY COUNTER-WEDDING PKG/6-U2601</v>
      </c>
      <c r="D291" s="3" t="str">
        <f>"U2601"</f>
        <v>U2601</v>
      </c>
      <c r="E291" s="3" t="str">
        <f>"ED28C056"</f>
        <v>ED28C056</v>
      </c>
    </row>
    <row r="292" spans="1:5" x14ac:dyDescent="0.25">
      <c r="A292" s="3" t="str">
        <f>"279708"</f>
        <v>279708</v>
      </c>
      <c r="B292" s="4" t="str">
        <f>"81983763946"</f>
        <v>81983763946</v>
      </c>
      <c r="C292" t="str">
        <f>"EVERYDAY COUNTER-BIRTHDAY-FEMININE PKG/6-J9005"</f>
        <v>EVERYDAY COUNTER-BIRTHDAY-FEMININE PKG/6-J9005</v>
      </c>
      <c r="D292" s="3" t="s">
        <v>29</v>
      </c>
      <c r="E292" s="3" t="str">
        <f>"ED28C057"</f>
        <v>ED28C057</v>
      </c>
    </row>
    <row r="293" spans="1:5" x14ac:dyDescent="0.25">
      <c r="A293" s="3" t="str">
        <f>"279469"</f>
        <v>279469</v>
      </c>
      <c r="B293" s="4" t="str">
        <f>"81983738395"</f>
        <v>81983738395</v>
      </c>
      <c r="C293" t="str">
        <f>"EVERYDAY COUNTER-BIRTHDAY GEN FEM PKG/6-J5506"</f>
        <v>EVERYDAY COUNTER-BIRTHDAY GEN FEM PKG/6-J5506</v>
      </c>
      <c r="D293" s="3" t="str">
        <f>"J5506"</f>
        <v>J5506</v>
      </c>
      <c r="E293" s="3" t="str">
        <f>"ED28C058"</f>
        <v>ED28C058</v>
      </c>
    </row>
    <row r="294" spans="1:5" x14ac:dyDescent="0.25">
      <c r="A294" s="3" t="str">
        <f>"349523"</f>
        <v>349523</v>
      </c>
      <c r="B294" s="4" t="str">
        <f>"81983777943"</f>
        <v>81983777943</v>
      </c>
      <c r="C294" t="str">
        <f>"EVERYDAY COUNTER-BIRTHDAY PKG/6-U0415"</f>
        <v>EVERYDAY COUNTER-BIRTHDAY PKG/6-U0415</v>
      </c>
      <c r="D294" s="3" t="s">
        <v>30</v>
      </c>
      <c r="E294" s="3" t="str">
        <f>"ED28C059"</f>
        <v>ED28C059</v>
      </c>
    </row>
    <row r="295" spans="1:5" x14ac:dyDescent="0.25">
      <c r="A295" s="3" t="str">
        <f>"279685"</f>
        <v>279685</v>
      </c>
      <c r="B295" s="4" t="str">
        <f>"81983763779"</f>
        <v>81983763779</v>
      </c>
      <c r="C295" t="str">
        <f>"EVERYDAY COUNTER-BIRTHDAY CHILD 4TH BOY PKG/6-J8988"</f>
        <v>EVERYDAY COUNTER-BIRTHDAY CHILD 4TH BOY PKG/6-J8988</v>
      </c>
      <c r="D295" s="3" t="str">
        <f>"J8988"</f>
        <v>J8988</v>
      </c>
      <c r="E295" s="3" t="str">
        <f>"ED28C060"</f>
        <v>ED28C060</v>
      </c>
    </row>
    <row r="296" spans="1:5" x14ac:dyDescent="0.25">
      <c r="A296" s="3" t="str">
        <f>"279684"</f>
        <v>279684</v>
      </c>
      <c r="B296" s="4" t="str">
        <f>"81983763762"</f>
        <v>81983763762</v>
      </c>
      <c r="C296" t="str">
        <f>"EVERYDAY COUNTER-BIRTHDAY CHILD 4TH GIRL PKG/6-J8987"</f>
        <v>EVERYDAY COUNTER-BIRTHDAY CHILD 4TH GIRL PKG/6-J8987</v>
      </c>
      <c r="D296" s="3" t="str">
        <f>"J8987"</f>
        <v>J8987</v>
      </c>
      <c r="E296" s="3" t="str">
        <f>"ED28C061"</f>
        <v>ED28C061</v>
      </c>
    </row>
    <row r="297" spans="1:5" x14ac:dyDescent="0.25">
      <c r="A297" s="3" t="str">
        <f>"279460"</f>
        <v>279460</v>
      </c>
      <c r="B297" s="4" t="str">
        <f>"81983738319"</f>
        <v>81983738319</v>
      </c>
      <c r="C297" t="str">
        <f>"EVERYDAY COUNTER-BIRTHDAY CHILD PKG/6-J5498"</f>
        <v>EVERYDAY COUNTER-BIRTHDAY CHILD PKG/6-J5498</v>
      </c>
      <c r="D297" s="3" t="s">
        <v>31</v>
      </c>
      <c r="E297" s="3" t="str">
        <f>"ED28C062"</f>
        <v>ED28C062</v>
      </c>
    </row>
    <row r="298" spans="1:5" x14ac:dyDescent="0.25">
      <c r="A298" s="3" t="str">
        <f>"308337"</f>
        <v>308337</v>
      </c>
      <c r="B298" s="4" t="str">
        <f>"81983717888"</f>
        <v>81983717888</v>
      </c>
      <c r="C298" t="str">
        <f>"EVERYDAY COUNTER-BIRTHDAY HUMOR PKG/6-J0368"</f>
        <v>EVERYDAY COUNTER-BIRTHDAY HUMOR PKG/6-J0368</v>
      </c>
      <c r="D298" s="3" t="str">
        <f>"J0368"</f>
        <v>J0368</v>
      </c>
      <c r="E298" s="3" t="str">
        <f>"ED28C063"</f>
        <v>ED28C063</v>
      </c>
    </row>
    <row r="299" spans="1:5" x14ac:dyDescent="0.25">
      <c r="A299" s="3" t="str">
        <f>"308233"</f>
        <v>308233</v>
      </c>
      <c r="B299" s="4" t="str">
        <f>"81983772351"</f>
        <v>81983772351</v>
      </c>
      <c r="C299" t="str">
        <f>"EVERYDAY COUNTER-WEDDING PKG/6-J9947"</f>
        <v>EVERYDAY COUNTER-WEDDING PKG/6-J9947</v>
      </c>
      <c r="D299" s="3" t="str">
        <f>"J9947"</f>
        <v>J9947</v>
      </c>
      <c r="E299" s="3" t="str">
        <f>"ED28C064"</f>
        <v>ED28C064</v>
      </c>
    </row>
    <row r="300" spans="1:5" x14ac:dyDescent="0.25">
      <c r="A300" s="3" t="str">
        <f>"279710"</f>
        <v>279710</v>
      </c>
      <c r="B300" s="4" t="str">
        <f>"81983763953"</f>
        <v>81983763953</v>
      </c>
      <c r="C300" t="str">
        <f>"EVERYDAY COUNTER-BIRTHDAY-FEMININE PKG/6-J9006"</f>
        <v>EVERYDAY COUNTER-BIRTHDAY-FEMININE PKG/6-J9006</v>
      </c>
      <c r="D300" s="3" t="str">
        <f>"J9006"</f>
        <v>J9006</v>
      </c>
      <c r="E300" s="3" t="str">
        <f>"ED28C065"</f>
        <v>ED28C065</v>
      </c>
    </row>
    <row r="301" spans="1:5" x14ac:dyDescent="0.25">
      <c r="A301" s="3" t="str">
        <f>"279468"</f>
        <v>279468</v>
      </c>
      <c r="B301" s="4" t="str">
        <f>"81983738388"</f>
        <v>81983738388</v>
      </c>
      <c r="C301" t="str">
        <f>"EVERYDAY COUNTER-BIRTHDAY GEN FEM PKG/6-J5505"</f>
        <v>EVERYDAY COUNTER-BIRTHDAY GEN FEM PKG/6-J5505</v>
      </c>
      <c r="D301" s="3" t="str">
        <f>"J5505"</f>
        <v>J5505</v>
      </c>
      <c r="E301" s="3" t="str">
        <f>"ED28C066"</f>
        <v>ED28C066</v>
      </c>
    </row>
    <row r="302" spans="1:5" x14ac:dyDescent="0.25">
      <c r="A302" s="3" t="str">
        <f>"308188"</f>
        <v>308188</v>
      </c>
      <c r="B302" s="4" t="str">
        <f>"81983536014"</f>
        <v>81983536014</v>
      </c>
      <c r="C302" t="str">
        <f>"EVERYDAY COUNTER-SPECIAL FRIEND FEMINE-86905"</f>
        <v>EVERYDAY COUNTER-SPECIAL FRIEND FEMINE-86905</v>
      </c>
      <c r="D302" s="3" t="str">
        <f>"86905"</f>
        <v>86905</v>
      </c>
      <c r="E302" s="3" t="str">
        <f>"ED28C067"</f>
        <v>ED28C067</v>
      </c>
    </row>
    <row r="303" spans="1:5" x14ac:dyDescent="0.25">
      <c r="A303" s="3" t="str">
        <f>"279458"</f>
        <v>279458</v>
      </c>
      <c r="B303" s="4" t="str">
        <f>"81983772986"</f>
        <v>81983772986</v>
      </c>
      <c r="C303" t="str">
        <f>"EVERYDAY COUNTER-BIRTHDAY 5TH CHILD PKG/6-J5497"</f>
        <v>EVERYDAY COUNTER-BIRTHDAY 5TH CHILD PKG/6-J5497</v>
      </c>
      <c r="D303" s="3" t="str">
        <f>"J5497"</f>
        <v>J5497</v>
      </c>
      <c r="E303" s="3" t="str">
        <f>"ED28C068"</f>
        <v>ED28C068</v>
      </c>
    </row>
    <row r="304" spans="1:5" x14ac:dyDescent="0.25">
      <c r="A304" s="3" t="str">
        <f>"279686"</f>
        <v>279686</v>
      </c>
      <c r="B304" s="4" t="str">
        <f>"81983763786"</f>
        <v>81983763786</v>
      </c>
      <c r="C304" t="str">
        <f>"EVERYDAY COUNTER-BIRTHDAY CHILD 5TH GIRL PKG/6-J8989"</f>
        <v>EVERYDAY COUNTER-BIRTHDAY CHILD 5TH GIRL PKG/6-J8989</v>
      </c>
      <c r="D304" s="3" t="str">
        <f>"J8989"</f>
        <v>J8989</v>
      </c>
      <c r="E304" s="3" t="str">
        <f>"ED28C069"</f>
        <v>ED28C069</v>
      </c>
    </row>
    <row r="305" spans="1:5" x14ac:dyDescent="0.25">
      <c r="A305" s="3" t="str">
        <f>"308168"</f>
        <v>308168</v>
      </c>
      <c r="B305" s="4" t="str">
        <f>"81983528514"</f>
        <v>81983528514</v>
      </c>
      <c r="C305" t="str">
        <f>"EVERYDAY COUNTER-CHILD MULTI-YEAR-84556"</f>
        <v>EVERYDAY COUNTER-CHILD MULTI-YEAR-84556</v>
      </c>
      <c r="D305" s="3" t="str">
        <f>"84556"</f>
        <v>84556</v>
      </c>
      <c r="E305" s="3" t="str">
        <f>"ED28C070"</f>
        <v>ED28C070</v>
      </c>
    </row>
    <row r="306" spans="1:5" x14ac:dyDescent="0.25">
      <c r="A306" s="3" t="str">
        <f>"308336"</f>
        <v>308336</v>
      </c>
      <c r="B306" s="4" t="str">
        <f>"81983717840"</f>
        <v>81983717840</v>
      </c>
      <c r="C306" t="str">
        <f>"EVERYDAY COUNTER-BIRTHDAY HUMOR PKG/6-J0367"</f>
        <v>EVERYDAY COUNTER-BIRTHDAY HUMOR PKG/6-J0367</v>
      </c>
      <c r="D306" s="3" t="str">
        <f>"J0367"</f>
        <v>J0367</v>
      </c>
      <c r="E306" s="3" t="str">
        <f>"ED28C071"</f>
        <v>ED28C071</v>
      </c>
    </row>
    <row r="307" spans="1:5" x14ac:dyDescent="0.25">
      <c r="A307" s="3" t="str">
        <f>"308333"</f>
        <v>308333</v>
      </c>
      <c r="B307" s="4" t="str">
        <f>"81983717864"</f>
        <v>81983717864</v>
      </c>
      <c r="C307" t="str">
        <f>"EVERYDAY COUNTER-BIRTHDAY HUMOR PKG/6-J0364"</f>
        <v>EVERYDAY COUNTER-BIRTHDAY HUMOR PKG/6-J0364</v>
      </c>
      <c r="D307" s="3" t="str">
        <f>"J0364"</f>
        <v>J0364</v>
      </c>
      <c r="E307" s="3" t="str">
        <f>"ED28C072"</f>
        <v>ED28C072</v>
      </c>
    </row>
    <row r="308" spans="1:5" x14ac:dyDescent="0.25">
      <c r="A308" s="3" t="str">
        <f>"279467"</f>
        <v>279467</v>
      </c>
      <c r="B308" s="4" t="str">
        <f>"81983738371"</f>
        <v>81983738371</v>
      </c>
      <c r="C308" t="str">
        <f>"EVERYDAY COUNTER-BIRTHDAY GEN FEM PKG/6-J5504"</f>
        <v>EVERYDAY COUNTER-BIRTHDAY GEN FEM PKG/6-J5504</v>
      </c>
      <c r="D308" s="3" t="str">
        <f>"J5504"</f>
        <v>J5504</v>
      </c>
      <c r="E308" s="3" t="str">
        <f>"ED28C073"</f>
        <v>ED28C073</v>
      </c>
    </row>
    <row r="309" spans="1:5" x14ac:dyDescent="0.25">
      <c r="A309" s="3" t="str">
        <f>"308400"</f>
        <v>308400</v>
      </c>
      <c r="B309" s="4" t="str">
        <f>"81983715068"</f>
        <v>81983715068</v>
      </c>
      <c r="C309" t="str">
        <f>"EVERYDAY COUNTER-BIRTHDAY SPECIAL FRIEND FEM PKG/6-J2732"</f>
        <v>EVERYDAY COUNTER-BIRTHDAY SPECIAL FRIEND FEM PKG/6-J2732</v>
      </c>
      <c r="D309" s="3" t="str">
        <f>"J2732"</f>
        <v>J2732</v>
      </c>
      <c r="E309" s="3" t="str">
        <f>"ED28C074"</f>
        <v>ED28C074</v>
      </c>
    </row>
    <row r="310" spans="1:5" x14ac:dyDescent="0.25">
      <c r="A310" s="3" t="str">
        <f>"308403"</f>
        <v>308403</v>
      </c>
      <c r="B310" s="4" t="str">
        <f>"81983715099"</f>
        <v>81983715099</v>
      </c>
      <c r="C310" t="str">
        <f>"EVERYDAY COUNTER-BIRTHDAY SPECIAL FRIEND FEM PKG/6-J2735"</f>
        <v>EVERYDAY COUNTER-BIRTHDAY SPECIAL FRIEND FEM PKG/6-J2735</v>
      </c>
      <c r="D310" s="3" t="str">
        <f>"J2735"</f>
        <v>J2735</v>
      </c>
      <c r="E310" s="3" t="str">
        <f>"ED28C075"</f>
        <v>ED28C075</v>
      </c>
    </row>
    <row r="311" spans="1:5" x14ac:dyDescent="0.25">
      <c r="A311" s="3" t="str">
        <f>"279456"</f>
        <v>279456</v>
      </c>
      <c r="B311" s="4" t="str">
        <f>"81983738289"</f>
        <v>81983738289</v>
      </c>
      <c r="C311" t="str">
        <f>"EVERYDAY COUNTER-BIRTHDAY 16YR FOR ANYONE PKG/6-J5495"</f>
        <v>EVERYDAY COUNTER-BIRTHDAY 16YR FOR ANYONE PKG/6-J5495</v>
      </c>
      <c r="D311" s="3" t="str">
        <f>"J5495"</f>
        <v>J5495</v>
      </c>
      <c r="E311" s="3" t="str">
        <f>"ED28C076"</f>
        <v>ED28C076</v>
      </c>
    </row>
    <row r="312" spans="1:5" x14ac:dyDescent="0.25">
      <c r="A312" s="3" t="str">
        <f>"308200"</f>
        <v>308200</v>
      </c>
      <c r="B312" s="4" t="str">
        <f>"81983677151"</f>
        <v>81983677151</v>
      </c>
      <c r="C312" t="str">
        <f>"EVERYDAY COUNTER-BDAY 30TH PKG/6-91975"</f>
        <v>EVERYDAY COUNTER-BDAY 30TH PKG/6-91975</v>
      </c>
      <c r="D312" s="3" t="str">
        <f>"91975"</f>
        <v>91975</v>
      </c>
      <c r="E312" s="3" t="str">
        <f>"ED28C077"</f>
        <v>ED28C077</v>
      </c>
    </row>
    <row r="313" spans="1:5" x14ac:dyDescent="0.25">
      <c r="A313" s="3" t="str">
        <f>"279675"</f>
        <v>279675</v>
      </c>
      <c r="B313" s="4" t="str">
        <f>"81983763694"</f>
        <v>81983763694</v>
      </c>
      <c r="C313" t="str">
        <f>"EVERYDAY COUNTER-BIRTHDAY 40TH PKG/6-J8980"</f>
        <v>EVERYDAY COUNTER-BIRTHDAY 40TH PKG/6-J8980</v>
      </c>
      <c r="D313" s="3" t="str">
        <f>"J8980"</f>
        <v>J8980</v>
      </c>
      <c r="E313" s="3" t="str">
        <f>"ED28C078"</f>
        <v>ED28C078</v>
      </c>
    </row>
    <row r="314" spans="1:5" x14ac:dyDescent="0.25">
      <c r="A314" s="3" t="str">
        <f>"349493"</f>
        <v>349493</v>
      </c>
      <c r="B314" s="4" t="str">
        <f>"81983777691"</f>
        <v>81983777691</v>
      </c>
      <c r="C314" t="str">
        <f>"EVERYDAY COUNTER-BIRTHDAY PKG/6-U0390"</f>
        <v>EVERYDAY COUNTER-BIRTHDAY PKG/6-U0390</v>
      </c>
      <c r="D314" s="3" t="str">
        <f>"U0390"</f>
        <v>U0390</v>
      </c>
      <c r="E314" s="3" t="str">
        <f>"ED28C079"</f>
        <v>ED28C079</v>
      </c>
    </row>
    <row r="315" spans="1:5" x14ac:dyDescent="0.25">
      <c r="A315" s="3" t="str">
        <f>"308395"</f>
        <v>308395</v>
      </c>
      <c r="B315" s="4" t="str">
        <f>"81983715013"</f>
        <v>81983715013</v>
      </c>
      <c r="C315" t="str">
        <f>"EVERYDAY COUNTER-BD GENERAL HUMOR PKG/6-J2727"</f>
        <v>EVERYDAY COUNTER-BD GENERAL HUMOR PKG/6-J2727</v>
      </c>
      <c r="D315" s="3" t="str">
        <f>"J2727"</f>
        <v>J2727</v>
      </c>
      <c r="E315" s="3" t="str">
        <f>"ED28C080"</f>
        <v>ED28C080</v>
      </c>
    </row>
    <row r="316" spans="1:5" x14ac:dyDescent="0.25">
      <c r="A316" s="3" t="str">
        <f>"349473"</f>
        <v>349473</v>
      </c>
      <c r="B316" s="4" t="str">
        <f>"81983777837"</f>
        <v>81983777837</v>
      </c>
      <c r="C316" t="str">
        <f>"EVERYDAY COUNTER-BIRTHDAY PKG/6-U0404"</f>
        <v>EVERYDAY COUNTER-BIRTHDAY PKG/6-U0404</v>
      </c>
      <c r="D316" s="3" t="str">
        <f>"U0404"</f>
        <v>U0404</v>
      </c>
      <c r="E316" s="3" t="str">
        <f>"ED28C081"</f>
        <v>ED28C081</v>
      </c>
    </row>
    <row r="317" spans="1:5" x14ac:dyDescent="0.25">
      <c r="A317" s="3" t="str">
        <f>"308373"</f>
        <v>308373</v>
      </c>
      <c r="B317" s="4" t="str">
        <f>"81983714832"</f>
        <v>81983714832</v>
      </c>
      <c r="C317" t="str">
        <f>"EVERYDAY COUNTER-BD PASTOR PKG/6-J2709"</f>
        <v>EVERYDAY COUNTER-BD PASTOR PKG/6-J2709</v>
      </c>
      <c r="D317" s="3" t="str">
        <f>"J2709"</f>
        <v>J2709</v>
      </c>
      <c r="E317" s="3" t="str">
        <f>"ED28C082"</f>
        <v>ED28C082</v>
      </c>
    </row>
    <row r="318" spans="1:5" x14ac:dyDescent="0.25">
      <c r="A318" s="3" t="str">
        <f>"279723"</f>
        <v>279723</v>
      </c>
      <c r="B318" s="4" t="str">
        <f>"81983764042"</f>
        <v>81983764042</v>
      </c>
      <c r="C318" t="str">
        <f>"EVERYDAY COUNTER-BIRTHDAY-SPECIAL FRIEND PKG/6-J9015"</f>
        <v>EVERYDAY COUNTER-BIRTHDAY-SPECIAL FRIEND PKG/6-J9015</v>
      </c>
      <c r="D318" s="3" t="str">
        <f>"J9015"</f>
        <v>J9015</v>
      </c>
      <c r="E318" s="3" t="str">
        <f>"ED28C083"</f>
        <v>ED28C083</v>
      </c>
    </row>
    <row r="319" spans="1:5" x14ac:dyDescent="0.25">
      <c r="A319" s="3" t="str">
        <f>"279676"</f>
        <v>279676</v>
      </c>
      <c r="B319" s="4" t="str">
        <f>"81983763700"</f>
        <v>81983763700</v>
      </c>
      <c r="C319" t="str">
        <f>"EVERYDAY COUNTER-BIRTHDAY 50TH PKG/6-J8981"</f>
        <v>EVERYDAY COUNTER-BIRTHDAY 50TH PKG/6-J8981</v>
      </c>
      <c r="D319" s="3" t="str">
        <f>"J8981"</f>
        <v>J8981</v>
      </c>
      <c r="E319" s="3" t="str">
        <f>"ED28C084"</f>
        <v>ED28C084</v>
      </c>
    </row>
    <row r="320" spans="1:5" x14ac:dyDescent="0.25">
      <c r="A320" s="3" t="str">
        <f>"308362"</f>
        <v>308362</v>
      </c>
      <c r="B320" s="4" t="str">
        <f>"81983714726"</f>
        <v>81983714726</v>
      </c>
      <c r="C320" t="str">
        <f>"EVERYDAY COUNTER-BD 50 FOR ANYONE PKG/6-J2698"</f>
        <v>EVERYDAY COUNTER-BD 50 FOR ANYONE PKG/6-J2698</v>
      </c>
      <c r="D320" s="3" t="str">
        <f>"J2698"</f>
        <v>J2698</v>
      </c>
      <c r="E320" s="3" t="str">
        <f>"ED28C085"</f>
        <v>ED28C085</v>
      </c>
    </row>
    <row r="321" spans="1:5" x14ac:dyDescent="0.25">
      <c r="A321" s="3" t="str">
        <f>"308363"</f>
        <v>308363</v>
      </c>
      <c r="B321" s="4" t="str">
        <f>"81983714733"</f>
        <v>81983714733</v>
      </c>
      <c r="C321" t="str">
        <f>"EVERYDAY COUNTER-BD 50 FOR ANYONE PKG/6-J2699"</f>
        <v>EVERYDAY COUNTER-BD 50 FOR ANYONE PKG/6-J2699</v>
      </c>
      <c r="D321" s="3" t="str">
        <f>"J2699"</f>
        <v>J2699</v>
      </c>
      <c r="E321" s="3" t="str">
        <f>"ED28C086"</f>
        <v>ED28C086</v>
      </c>
    </row>
    <row r="322" spans="1:5" x14ac:dyDescent="0.25">
      <c r="A322" s="3" t="str">
        <f>"349497"</f>
        <v>349497</v>
      </c>
      <c r="B322" s="4" t="str">
        <f>"81983777592"</f>
        <v>81983777592</v>
      </c>
      <c r="C322" t="str">
        <f>"EVERYDAY COUNTER-BIRTHDAY PKG/6-U0380"</f>
        <v>EVERYDAY COUNTER-BIRTHDAY PKG/6-U0380</v>
      </c>
      <c r="D322" s="3" t="str">
        <f>"U0380"</f>
        <v>U0380</v>
      </c>
      <c r="E322" s="3" t="str">
        <f>"ED28C087"</f>
        <v>ED28C087</v>
      </c>
    </row>
    <row r="323" spans="1:5" x14ac:dyDescent="0.25">
      <c r="A323" s="3" t="str">
        <f>"349494"</f>
        <v>349494</v>
      </c>
      <c r="B323" s="4" t="str">
        <f>"81983777608"</f>
        <v>81983777608</v>
      </c>
      <c r="C323" t="str">
        <f>"EVERYDAY COUNTER-BIRTHDAY PKG/6-U0381"</f>
        <v>EVERYDAY COUNTER-BIRTHDAY PKG/6-U0381</v>
      </c>
      <c r="D323" s="3" t="str">
        <f>"U0381"</f>
        <v>U0381</v>
      </c>
      <c r="E323" s="3" t="str">
        <f>"ED28C088"</f>
        <v>ED28C088</v>
      </c>
    </row>
    <row r="324" spans="1:5" x14ac:dyDescent="0.25">
      <c r="A324" s="3" t="str">
        <f>"298777"</f>
        <v>298777</v>
      </c>
      <c r="B324" s="4" t="str">
        <f>"81983545153"</f>
        <v>81983545153</v>
      </c>
      <c r="C324" t="str">
        <f>"EVERYDAY COUNTER-BD HUMOUR-21061"</f>
        <v>EVERYDAY COUNTER-BD HUMOUR-21061</v>
      </c>
      <c r="D324" s="3" t="str">
        <f>"21061"</f>
        <v>21061</v>
      </c>
      <c r="E324" s="3" t="str">
        <f>"ED28C089"</f>
        <v>ED28C089</v>
      </c>
    </row>
    <row r="325" spans="1:5" x14ac:dyDescent="0.25">
      <c r="A325" s="3" t="str">
        <f>"279711"</f>
        <v>279711</v>
      </c>
      <c r="B325" s="4" t="str">
        <f>"81983763960"</f>
        <v>81983763960</v>
      </c>
      <c r="C325" t="str">
        <f>"EVERYDAY COUNTER-BIRTHDAY-FEMININE PKG/6-J9007"</f>
        <v>EVERYDAY COUNTER-BIRTHDAY-FEMININE PKG/6-J9007</v>
      </c>
      <c r="D325" s="3" t="str">
        <f>"J9007"</f>
        <v>J9007</v>
      </c>
      <c r="E325" s="3" t="str">
        <f>"ED28C090"</f>
        <v>ED28C090</v>
      </c>
    </row>
    <row r="326" spans="1:5" x14ac:dyDescent="0.25">
      <c r="A326" s="3" t="str">
        <f>"349469"</f>
        <v>349469</v>
      </c>
      <c r="B326" s="4" t="str">
        <f>"81983777769"</f>
        <v>81983777769</v>
      </c>
      <c r="C326" t="str">
        <f>"EVERYDAY COUNTER-BIRTHDAY PKG/6-U0397"</f>
        <v>EVERYDAY COUNTER-BIRTHDAY PKG/6-U0397</v>
      </c>
      <c r="D326" s="3" t="str">
        <f>"U0397"</f>
        <v>U0397</v>
      </c>
      <c r="E326" s="3" t="str">
        <f>"ED28C091"</f>
        <v>ED28C091</v>
      </c>
    </row>
    <row r="327" spans="1:5" x14ac:dyDescent="0.25">
      <c r="A327" s="3" t="str">
        <f>"308185"</f>
        <v>308185</v>
      </c>
      <c r="B327" s="4" t="str">
        <f>"81983773266"</f>
        <v>81983773266</v>
      </c>
      <c r="C327" t="str">
        <f>"EVERYDAY COUNTER-SPECIAL FRIEND FEMININE-86897"</f>
        <v>EVERYDAY COUNTER-SPECIAL FRIEND FEMININE-86897</v>
      </c>
      <c r="D327" s="3" t="str">
        <f>"86897"</f>
        <v>86897</v>
      </c>
      <c r="E327" s="3" t="str">
        <f>"ED28C092"</f>
        <v>ED28C092</v>
      </c>
    </row>
    <row r="328" spans="1:5" x14ac:dyDescent="0.25">
      <c r="A328" s="3" t="str">
        <f>"279678"</f>
        <v>279678</v>
      </c>
      <c r="B328" s="4" t="str">
        <f>"81983763717"</f>
        <v>81983763717</v>
      </c>
      <c r="C328" t="str">
        <f>"EVERYDAY COUNTER-BIRTHDAY 60TH PKG/6-J8982"</f>
        <v>EVERYDAY COUNTER-BIRTHDAY 60TH PKG/6-J8982</v>
      </c>
      <c r="D328" s="3" t="str">
        <f>"J8982"</f>
        <v>J8982</v>
      </c>
      <c r="E328" s="3" t="str">
        <f>"ED28C093"</f>
        <v>ED28C093</v>
      </c>
    </row>
    <row r="329" spans="1:5" x14ac:dyDescent="0.25">
      <c r="A329" s="3" t="str">
        <f>"308365"</f>
        <v>308365</v>
      </c>
      <c r="B329" s="4" t="str">
        <f>"81983714757"</f>
        <v>81983714757</v>
      </c>
      <c r="C329" t="str">
        <f>"EVERYDAY COUNTER-BD 60 FOR ANYONE PKG/6-J2701"</f>
        <v>EVERYDAY COUNTER-BD 60 FOR ANYONE PKG/6-J2701</v>
      </c>
      <c r="D329" s="3" t="s">
        <v>32</v>
      </c>
      <c r="E329" s="3" t="str">
        <f>"ED28C094"</f>
        <v>ED28C094</v>
      </c>
    </row>
    <row r="330" spans="1:5" x14ac:dyDescent="0.25">
      <c r="A330" s="3" t="str">
        <f>"349459"</f>
        <v>349459</v>
      </c>
      <c r="B330" s="4" t="str">
        <f>"81983777707"</f>
        <v>81983777707</v>
      </c>
      <c r="C330" t="str">
        <f>"EVERYDAY COUNTER-BIRTHDAY PKG/6-U0391"</f>
        <v>EVERYDAY COUNTER-BIRTHDAY PKG/6-U0391</v>
      </c>
      <c r="D330" s="3" t="str">
        <f>"U0391"</f>
        <v>U0391</v>
      </c>
      <c r="E330" s="3" t="str">
        <f>"ED28C095"</f>
        <v>ED28C095</v>
      </c>
    </row>
    <row r="331" spans="1:5" x14ac:dyDescent="0.25">
      <c r="A331" s="3" t="str">
        <f>"349524"</f>
        <v>349524</v>
      </c>
      <c r="B331" s="4" t="str">
        <f>"81983777967"</f>
        <v>81983777967</v>
      </c>
      <c r="C331" t="str">
        <f>"EVERYDAY COUNTER-BIRTHDAY PKG/6-U0417"</f>
        <v>EVERYDAY COUNTER-BIRTHDAY PKG/6-U0417</v>
      </c>
      <c r="D331" s="3" t="str">
        <f>"U0417"</f>
        <v>U0417</v>
      </c>
      <c r="E331" s="3" t="str">
        <f>"ED28C096"</f>
        <v>ED28C096</v>
      </c>
    </row>
    <row r="332" spans="1:5" x14ac:dyDescent="0.25">
      <c r="A332" s="3" t="str">
        <f>"349501"</f>
        <v>349501</v>
      </c>
      <c r="B332" s="4" t="str">
        <f>"81983777615"</f>
        <v>81983777615</v>
      </c>
      <c r="C332" t="str">
        <f>"EVERYDAY COUNTER-BIRTHDAY PKG/6-U0382"</f>
        <v>EVERYDAY COUNTER-BIRTHDAY PKG/6-U0382</v>
      </c>
      <c r="D332" s="3" t="str">
        <f>"U0382"</f>
        <v>U0382</v>
      </c>
      <c r="E332" s="3" t="str">
        <f>"ED28C097"</f>
        <v>ED28C097</v>
      </c>
    </row>
    <row r="333" spans="1:5" x14ac:dyDescent="0.25">
      <c r="A333" s="3" t="str">
        <f>"308369"</f>
        <v>308369</v>
      </c>
      <c r="B333" s="4" t="str">
        <f>"81983714795"</f>
        <v>81983714795</v>
      </c>
      <c r="C333" t="str">
        <f>"EVERYDAY COUNTER-BELATED BIRTHDAY PKG/6-J2705"</f>
        <v>EVERYDAY COUNTER-BELATED BIRTHDAY PKG/6-J2705</v>
      </c>
      <c r="D333" s="3" t="str">
        <f>"J2705"</f>
        <v>J2705</v>
      </c>
      <c r="E333" s="3" t="str">
        <f>"ED28C098"</f>
        <v>ED28C098</v>
      </c>
    </row>
    <row r="334" spans="1:5" x14ac:dyDescent="0.25">
      <c r="A334" s="3" t="str">
        <f>"308381"</f>
        <v>308381</v>
      </c>
      <c r="B334" s="4" t="str">
        <f>"81983714900"</f>
        <v>81983714900</v>
      </c>
      <c r="C334" t="str">
        <f>"EVERYDAY COUNTER-BD GENERAL FEMININE PKG/6-J2716"</f>
        <v>EVERYDAY COUNTER-BD GENERAL FEMININE PKG/6-J2716</v>
      </c>
      <c r="D334" s="3" t="str">
        <f>"J2716"</f>
        <v>J2716</v>
      </c>
      <c r="E334" s="3" t="str">
        <f>"ED28C099"</f>
        <v>ED28C099</v>
      </c>
    </row>
    <row r="335" spans="1:5" x14ac:dyDescent="0.25">
      <c r="A335" s="3" t="str">
        <f>"279463"</f>
        <v>279463</v>
      </c>
      <c r="B335" s="4" t="str">
        <f>"81983738340"</f>
        <v>81983738340</v>
      </c>
      <c r="C335" t="str">
        <f>"EVERYDAY COUNTER-BIRTHDAY PASTOR PKG/6-J5501"</f>
        <v>EVERYDAY COUNTER-BIRTHDAY PASTOR PKG/6-J5501</v>
      </c>
      <c r="D335" s="3" t="str">
        <f>"J5501"</f>
        <v>J5501</v>
      </c>
      <c r="E335" s="3" t="str">
        <f>"ED28C100"</f>
        <v>ED28C100</v>
      </c>
    </row>
    <row r="336" spans="1:5" x14ac:dyDescent="0.25">
      <c r="A336" s="3" t="str">
        <f>"279464"</f>
        <v>279464</v>
      </c>
      <c r="B336" s="4" t="str">
        <f>"81983738357"</f>
        <v>81983738357</v>
      </c>
      <c r="C336" t="str">
        <f>"EVERYDAY COUNTER-BIRTHDAY PASTOR'S WIFE PKG/6-J5502"</f>
        <v>EVERYDAY COUNTER-BIRTHDAY PASTOR'S WIFE PKG/6-J5502</v>
      </c>
      <c r="D336" s="3" t="str">
        <f>"J5502"</f>
        <v>J5502</v>
      </c>
      <c r="E336" s="3" t="str">
        <f>"ED28C101"</f>
        <v>ED28C101</v>
      </c>
    </row>
    <row r="337" spans="1:5" x14ac:dyDescent="0.25">
      <c r="A337" s="3" t="str">
        <f>"308161"</f>
        <v>308161</v>
      </c>
      <c r="B337" s="4" t="str">
        <f>"81983603143"</f>
        <v>81983603143</v>
      </c>
      <c r="C337" t="str">
        <f>"EVERYDAY COUNTER-MULTI-YEAR (Pk/6)-83997"</f>
        <v>EVERYDAY COUNTER-MULTI-YEAR (Pk/6)-83997</v>
      </c>
      <c r="D337" s="3" t="s">
        <v>33</v>
      </c>
      <c r="E337" s="3" t="str">
        <f>"ED28C102"</f>
        <v>ED28C102</v>
      </c>
    </row>
    <row r="338" spans="1:5" x14ac:dyDescent="0.25">
      <c r="A338" s="3" t="str">
        <f>"308364"</f>
        <v>308364</v>
      </c>
      <c r="B338" s="4" t="str">
        <f>"81983714740"</f>
        <v>81983714740</v>
      </c>
      <c r="C338" t="str">
        <f>"EVERYDAY COUNTER-BD 60 FOR ANYONE PKG/6-J2700"</f>
        <v>EVERYDAY COUNTER-BD 60 FOR ANYONE PKG/6-J2700</v>
      </c>
      <c r="D338" s="3" t="str">
        <f>"J2700"</f>
        <v>J2700</v>
      </c>
      <c r="E338" s="3" t="str">
        <f>"ED28C103"</f>
        <v>ED28C103</v>
      </c>
    </row>
    <row r="339" spans="1:5" x14ac:dyDescent="0.25">
      <c r="A339" s="3" t="str">
        <f>"308367"</f>
        <v>308367</v>
      </c>
      <c r="B339" s="4" t="str">
        <f>"81983714771"</f>
        <v>81983714771</v>
      </c>
      <c r="C339" t="str">
        <f>"EVERYDAY COUNTER-BD 70 FOR ANYONE PKG/6-J2703"</f>
        <v>EVERYDAY COUNTER-BD 70 FOR ANYONE PKG/6-J2703</v>
      </c>
      <c r="D339" s="3" t="str">
        <f>"J2703"</f>
        <v>J2703</v>
      </c>
      <c r="E339" s="3" t="str">
        <f>"ED28C104"</f>
        <v>ED28C104</v>
      </c>
    </row>
    <row r="340" spans="1:5" x14ac:dyDescent="0.25">
      <c r="A340" s="3" t="str">
        <f>"279477"</f>
        <v>279477</v>
      </c>
      <c r="B340" s="4" t="str">
        <f>"81983738449"</f>
        <v>81983738449</v>
      </c>
      <c r="C340" t="str">
        <f>"EVERYDAY COUNTER-BIRTHDAY GODDAUGHTER PKG/6-J5511"</f>
        <v>EVERYDAY COUNTER-BIRTHDAY GODDAUGHTER PKG/6-J5511</v>
      </c>
      <c r="D340" s="3" t="str">
        <f>"J5511"</f>
        <v>J5511</v>
      </c>
      <c r="E340" s="3" t="str">
        <f>"ED28C105"</f>
        <v>ED28C105</v>
      </c>
    </row>
    <row r="341" spans="1:5" x14ac:dyDescent="0.25">
      <c r="A341" s="3" t="str">
        <f>"308344"</f>
        <v>308344</v>
      </c>
      <c r="B341" s="4" t="str">
        <f>"81983717802"</f>
        <v>81983717802</v>
      </c>
      <c r="C341" t="str">
        <f>"EVERYDAY COUNTER-BIRTHDAY HUMOR PKG/6-J0375"</f>
        <v>EVERYDAY COUNTER-BIRTHDAY HUMOR PKG/6-J0375</v>
      </c>
      <c r="D341" s="3" t="str">
        <f>"J0375"</f>
        <v>J0375</v>
      </c>
      <c r="E341" s="3" t="str">
        <f>"ED28C106"</f>
        <v>ED28C106</v>
      </c>
    </row>
    <row r="342" spans="1:5" x14ac:dyDescent="0.25">
      <c r="A342" s="3" t="str">
        <f>"279682"</f>
        <v>279682</v>
      </c>
      <c r="B342" s="4" t="str">
        <f>"81983763748"</f>
        <v>81983763748</v>
      </c>
      <c r="C342" t="str">
        <f>"EVERYDAY COUNTER-BIRTHDAY BELATED PKG/6-J8985"</f>
        <v>EVERYDAY COUNTER-BIRTHDAY BELATED PKG/6-J8985</v>
      </c>
      <c r="D342" s="3" t="str">
        <f>"J8985"</f>
        <v>J8985</v>
      </c>
      <c r="E342" s="3" t="str">
        <f>"ED28C107"</f>
        <v>ED28C107</v>
      </c>
    </row>
    <row r="343" spans="1:5" x14ac:dyDescent="0.25">
      <c r="A343" s="3" t="str">
        <f>"349475"</f>
        <v>349475</v>
      </c>
      <c r="B343" s="4" t="str">
        <f>"81983777844"</f>
        <v>81983777844</v>
      </c>
      <c r="C343" t="str">
        <f>"EVERYDAY COUNTER-BIRTHDAY PKG/6-U0405"</f>
        <v>EVERYDAY COUNTER-BIRTHDAY PKG/6-U0405</v>
      </c>
      <c r="D343" s="3" t="str">
        <f>"U0405"</f>
        <v>U0405</v>
      </c>
      <c r="E343" s="3" t="str">
        <f>"ED28C108"</f>
        <v>ED28C108</v>
      </c>
    </row>
    <row r="344" spans="1:5" x14ac:dyDescent="0.25">
      <c r="A344" s="3" t="str">
        <f>"279462"</f>
        <v>279462</v>
      </c>
      <c r="B344" s="4" t="str">
        <f>"81983738333"</f>
        <v>81983738333</v>
      </c>
      <c r="C344" t="str">
        <f>"EVERYDAY COUNTER-BIRTHDAY PASTOR PKG/6-J5500"</f>
        <v>EVERYDAY COUNTER-BIRTHDAY PASTOR PKG/6-J5500</v>
      </c>
      <c r="D344" s="3" t="s">
        <v>34</v>
      </c>
      <c r="E344" s="3" t="str">
        <f>"ED28C109"</f>
        <v>ED28C109</v>
      </c>
    </row>
    <row r="345" spans="1:5" x14ac:dyDescent="0.25">
      <c r="A345" s="3" t="str">
        <f>"279465"</f>
        <v>279465</v>
      </c>
      <c r="B345" s="4" t="str">
        <f>"81983738364"</f>
        <v>81983738364</v>
      </c>
      <c r="C345" t="str">
        <f>"EVERYDAY COUNTER-BIRTHDAY PASTOR'S WIFE PKG/6-J5503"</f>
        <v>EVERYDAY COUNTER-BIRTHDAY PASTOR'S WIFE PKG/6-J5503</v>
      </c>
      <c r="D345" s="3" t="s">
        <v>35</v>
      </c>
      <c r="E345" s="3" t="str">
        <f>"ED28C110"</f>
        <v>ED28C110</v>
      </c>
    </row>
    <row r="346" spans="1:5" x14ac:dyDescent="0.25">
      <c r="A346" s="3" t="str">
        <f>"308368"</f>
        <v>308368</v>
      </c>
      <c r="B346" s="4" t="str">
        <f>"81983714788"</f>
        <v>81983714788</v>
      </c>
      <c r="C346" t="str">
        <f>"EVERYDAY COUNTER-BIRTHDAY MULTI-YEAR PKG/6-J2704"</f>
        <v>EVERYDAY COUNTER-BIRTHDAY MULTI-YEAR PKG/6-J2704</v>
      </c>
      <c r="D346" s="3" t="str">
        <f>"J2704"</f>
        <v>J2704</v>
      </c>
      <c r="E346" s="3" t="str">
        <f>"ED28C111"</f>
        <v>ED28C111</v>
      </c>
    </row>
    <row r="347" spans="1:5" x14ac:dyDescent="0.25">
      <c r="A347" s="3" t="str">
        <f>"279680"</f>
        <v>279680</v>
      </c>
      <c r="B347" s="4" t="str">
        <f>"81983763724"</f>
        <v>81983763724</v>
      </c>
      <c r="C347" t="str">
        <f>"EVERYDAY COUNTER-BIRTHDAY 80TH PKG/6-J8983"</f>
        <v>EVERYDAY COUNTER-BIRTHDAY 80TH PKG/6-J8983</v>
      </c>
      <c r="D347" s="3" t="str">
        <f>"J8983"</f>
        <v>J8983</v>
      </c>
      <c r="E347" s="3" t="str">
        <f>"ED28C112"</f>
        <v>ED28C112</v>
      </c>
    </row>
    <row r="348" spans="1:5" x14ac:dyDescent="0.25">
      <c r="A348" s="3" t="str">
        <f>"308366"</f>
        <v>308366</v>
      </c>
      <c r="B348" s="4" t="str">
        <f>"81983714764"</f>
        <v>81983714764</v>
      </c>
      <c r="C348" t="str">
        <f>"EVERYDAY COUNTER-BD 70 FOR ANYONE PKG/6-J2702"</f>
        <v>EVERYDAY COUNTER-BD 70 FOR ANYONE PKG/6-J2702</v>
      </c>
      <c r="D348" s="3" t="str">
        <f>"J2702"</f>
        <v>J2702</v>
      </c>
      <c r="E348" s="3" t="str">
        <f>"ED28C113"</f>
        <v>ED28C113</v>
      </c>
    </row>
    <row r="349" spans="1:5" x14ac:dyDescent="0.25">
      <c r="A349" s="3" t="str">
        <f>"298780"</f>
        <v>298780</v>
      </c>
      <c r="B349" s="4" t="str">
        <f>"81983728242"</f>
        <v>81983728242</v>
      </c>
      <c r="C349" t="str">
        <f>"EVERYDAY COUNTER-BD GODSON-21219"</f>
        <v>EVERYDAY COUNTER-BD GODSON-21219</v>
      </c>
      <c r="D349" s="3" t="str">
        <f>"21219"</f>
        <v>21219</v>
      </c>
      <c r="E349" s="3" t="str">
        <f>"ED28C114"</f>
        <v>ED28C114</v>
      </c>
    </row>
    <row r="350" spans="1:5" x14ac:dyDescent="0.25">
      <c r="A350" s="3" t="str">
        <f>"349502"</f>
        <v>349502</v>
      </c>
      <c r="B350" s="4" t="str">
        <f>"81983777622"</f>
        <v>81983777622</v>
      </c>
      <c r="C350" t="str">
        <f>"EVERYDAY COUNTER-BIRTHDAY PKG/6-U0383"</f>
        <v>EVERYDAY COUNTER-BIRTHDAY PKG/6-U0383</v>
      </c>
      <c r="D350" s="3" t="str">
        <f>"U0383"</f>
        <v>U0383</v>
      </c>
      <c r="E350" s="3" t="str">
        <f>"ED28C115"</f>
        <v>ED28C115</v>
      </c>
    </row>
    <row r="351" spans="1:5" x14ac:dyDescent="0.25">
      <c r="A351" s="3" t="str">
        <f>"279681"</f>
        <v>279681</v>
      </c>
      <c r="B351" s="4" t="str">
        <f>"81983763731"</f>
        <v>81983763731</v>
      </c>
      <c r="C351" t="str">
        <f>"EVERYDAY COUNTER-BIRTHDAY BELATED PKG/6-J8984"</f>
        <v>EVERYDAY COUNTER-BIRTHDAY BELATED PKG/6-J8984</v>
      </c>
      <c r="D351" s="3" t="str">
        <f>"J8984"</f>
        <v>J8984</v>
      </c>
      <c r="E351" s="3" t="str">
        <f>"ED28C116"</f>
        <v>ED28C116</v>
      </c>
    </row>
    <row r="352" spans="1:5" x14ac:dyDescent="0.25">
      <c r="A352" s="3" t="str">
        <f>"279542"</f>
        <v>279542</v>
      </c>
      <c r="B352" s="4" t="str">
        <f>"81983774812"</f>
        <v>81983774812</v>
      </c>
      <c r="C352" t="str">
        <f>"EVERYDAY COUNTER-WEDDING PKG/6-J5564"</f>
        <v>EVERYDAY COUNTER-WEDDING PKG/6-J5564</v>
      </c>
      <c r="D352" s="3" t="str">
        <f>"J5564"</f>
        <v>J5564</v>
      </c>
      <c r="E352" s="3" t="str">
        <f>"ED28D001"</f>
        <v>ED28D001</v>
      </c>
    </row>
    <row r="353" spans="1:5" x14ac:dyDescent="0.25">
      <c r="A353" s="3" t="str">
        <f>"279541"</f>
        <v>279541</v>
      </c>
      <c r="B353" s="4" t="str">
        <f>"81983774898"</f>
        <v>81983774898</v>
      </c>
      <c r="C353" t="str">
        <f>"EVERYDAY COUNTER-WEDDING PKG/6-J5563"</f>
        <v>EVERYDAY COUNTER-WEDDING PKG/6-J5563</v>
      </c>
      <c r="D353" s="3" t="str">
        <f>"J5563"</f>
        <v>J5563</v>
      </c>
      <c r="E353" s="3" t="str">
        <f>"ED28D002"</f>
        <v>ED28D002</v>
      </c>
    </row>
    <row r="354" spans="1:5" x14ac:dyDescent="0.25">
      <c r="A354" s="3" t="str">
        <f>"308123"</f>
        <v>308123</v>
      </c>
      <c r="B354" s="4" t="str">
        <f>"81983678646"</f>
        <v>81983678646</v>
      </c>
      <c r="C354" t="str">
        <f>"EVERYDAY COUNTER-WEDDING-78872"</f>
        <v>EVERYDAY COUNTER-WEDDING-78872</v>
      </c>
      <c r="D354" s="3" t="str">
        <f>"78872"</f>
        <v>78872</v>
      </c>
      <c r="E354" s="3" t="str">
        <f>"ED28D003"</f>
        <v>ED28D003</v>
      </c>
    </row>
    <row r="355" spans="1:5" x14ac:dyDescent="0.25">
      <c r="A355" s="3" t="str">
        <f>"345277"</f>
        <v>345277</v>
      </c>
      <c r="B355" s="4" t="str">
        <f>"81983794643"</f>
        <v>81983794643</v>
      </c>
      <c r="C355" t="str">
        <f>"EVERYDAY COUNTER-WEDDING PKG/6-U2683"</f>
        <v>EVERYDAY COUNTER-WEDDING PKG/6-U2683</v>
      </c>
      <c r="D355" s="3" t="str">
        <f>"U2683"</f>
        <v>U2683</v>
      </c>
      <c r="E355" s="3" t="str">
        <f>"ED28D004"</f>
        <v>ED28D004</v>
      </c>
    </row>
    <row r="356" spans="1:5" x14ac:dyDescent="0.25">
      <c r="A356" s="3" t="str">
        <f>"345276"</f>
        <v>345276</v>
      </c>
      <c r="B356" s="4" t="str">
        <f>"81983794636"</f>
        <v>81983794636</v>
      </c>
      <c r="C356" t="str">
        <f>"EVERYDAY COUNTER-WEDDING PKG/6-U2682"</f>
        <v>EVERYDAY COUNTER-WEDDING PKG/6-U2682</v>
      </c>
      <c r="D356" s="3" t="str">
        <f>"U2682"</f>
        <v>U2682</v>
      </c>
      <c r="E356" s="3" t="str">
        <f>"ED28D005"</f>
        <v>ED28D005</v>
      </c>
    </row>
    <row r="357" spans="1:5" x14ac:dyDescent="0.25">
      <c r="A357" s="3" t="str">
        <f>"308149"</f>
        <v>308149</v>
      </c>
      <c r="B357" s="4" t="str">
        <f>"81983772931"</f>
        <v>81983772931</v>
      </c>
      <c r="C357" t="str">
        <f>"EVERYDAY COUNTER-WIFE ANNIVERSARY-83666"</f>
        <v>EVERYDAY COUNTER-WIFE ANNIVERSARY-83666</v>
      </c>
      <c r="D357" s="3" t="str">
        <f>"83666"</f>
        <v>83666</v>
      </c>
      <c r="E357" s="3" t="str">
        <f>"ED28D006"</f>
        <v>ED28D006</v>
      </c>
    </row>
    <row r="358" spans="1:5" x14ac:dyDescent="0.25">
      <c r="A358" s="3" t="str">
        <f>"308259"</f>
        <v>308259</v>
      </c>
      <c r="B358" s="4" t="str">
        <f>"81983772849"</f>
        <v>81983772849</v>
      </c>
      <c r="C358" t="str">
        <f>"EVERYDAY COUNTER-ANNIVERSARY - HUSBAND PKG/6-92222"</f>
        <v>EVERYDAY COUNTER-ANNIVERSARY - HUSBAND PKG/6-92222</v>
      </c>
      <c r="D358" s="3" t="str">
        <f>"92222"</f>
        <v>92222</v>
      </c>
      <c r="E358" s="3" t="str">
        <f>"ED28D007"</f>
        <v>ED28D007</v>
      </c>
    </row>
    <row r="359" spans="1:5" x14ac:dyDescent="0.25">
      <c r="A359" s="3" t="str">
        <f>"308275"</f>
        <v>308275</v>
      </c>
      <c r="B359" s="4" t="str">
        <f>"81983682513"</f>
        <v>81983682513</v>
      </c>
      <c r="C359" t="str">
        <f>"EVERYDAY COUNTER-ANNIVERSARY-HUSBAND PKG/6-J0025"</f>
        <v>EVERYDAY COUNTER-ANNIVERSARY-HUSBAND PKG/6-J0025</v>
      </c>
      <c r="D359" s="3" t="str">
        <f>"J0025"</f>
        <v>J0025</v>
      </c>
      <c r="E359" s="3" t="str">
        <f>"ED28D008"</f>
        <v>ED28D008</v>
      </c>
    </row>
    <row r="360" spans="1:5" x14ac:dyDescent="0.25">
      <c r="A360" s="3" t="str">
        <f>"308120"</f>
        <v>308120</v>
      </c>
      <c r="B360" s="4" t="str">
        <f>"81983772368"</f>
        <v>81983772368</v>
      </c>
      <c r="C360" t="str">
        <f>"EVERYDAY COUNTER-WEDDING-J9948"</f>
        <v>EVERYDAY COUNTER-WEDDING-J9948</v>
      </c>
      <c r="D360" s="3" t="str">
        <f>"J9948"</f>
        <v>J9948</v>
      </c>
      <c r="E360" s="3" t="str">
        <f>"ED28D009"</f>
        <v>ED28D009</v>
      </c>
    </row>
    <row r="361" spans="1:5" x14ac:dyDescent="0.25">
      <c r="A361" s="3" t="str">
        <f>"298741"</f>
        <v>298741</v>
      </c>
      <c r="B361" s="4" t="str">
        <f>"81983772375"</f>
        <v>81983772375</v>
      </c>
      <c r="C361" t="str">
        <f>"EVERYDAY COUNTER-WEDDING-J9949"</f>
        <v>EVERYDAY COUNTER-WEDDING-J9949</v>
      </c>
      <c r="D361" s="3" t="str">
        <f>"J9949"</f>
        <v>J9949</v>
      </c>
      <c r="E361" s="3" t="str">
        <f>"ED28D010"</f>
        <v>ED28D010</v>
      </c>
    </row>
    <row r="362" spans="1:5" x14ac:dyDescent="0.25">
      <c r="A362" s="3" t="str">
        <f>"308102"</f>
        <v>308102</v>
      </c>
      <c r="B362" s="4" t="str">
        <f>"81983644153"</f>
        <v>81983644153</v>
      </c>
      <c r="C362" t="str">
        <f>"EVERYDAY COUNTER-WEDDING-76363"</f>
        <v>EVERYDAY COUNTER-WEDDING-76363</v>
      </c>
      <c r="D362" s="3" t="str">
        <f>"76363"</f>
        <v>76363</v>
      </c>
      <c r="E362" s="3" t="str">
        <f>"ED28D011"</f>
        <v>ED28D011</v>
      </c>
    </row>
    <row r="363" spans="1:5" x14ac:dyDescent="0.25">
      <c r="A363" s="3" t="str">
        <f>"345275"</f>
        <v>345275</v>
      </c>
      <c r="B363" s="4" t="str">
        <f>"81983794629"</f>
        <v>81983794629</v>
      </c>
      <c r="C363" t="str">
        <f>"EVERYDAY COUNTER-WEDDING PKG/6-U2681"</f>
        <v>EVERYDAY COUNTER-WEDDING PKG/6-U2681</v>
      </c>
      <c r="D363" s="3" t="str">
        <f>"U2681"</f>
        <v>U2681</v>
      </c>
      <c r="E363" s="3" t="str">
        <f>"ED28D012"</f>
        <v>ED28D012</v>
      </c>
    </row>
    <row r="364" spans="1:5" x14ac:dyDescent="0.25">
      <c r="A364" s="3" t="str">
        <f>"401615"</f>
        <v>401615</v>
      </c>
      <c r="B364" s="4" t="str">
        <f>"81983768545"</f>
        <v>81983768545</v>
      </c>
      <c r="C364" t="str">
        <f>"EVERYDAY COUNTER-WEDDING-HL PREMIUM (PACK OF 2)-J9574"</f>
        <v>EVERYDAY COUNTER-WEDDING-HL PREMIUM (PACK OF 2)-J9574</v>
      </c>
      <c r="D364" s="3" t="str">
        <f>"J9574"</f>
        <v>J9574</v>
      </c>
      <c r="E364" s="3" t="str">
        <f>"ED28D013"</f>
        <v>ED28D013</v>
      </c>
    </row>
    <row r="365" spans="1:5" x14ac:dyDescent="0.25">
      <c r="A365" s="3" t="str">
        <f>"307928"</f>
        <v>307928</v>
      </c>
      <c r="B365" s="4" t="str">
        <f>"81983612930"</f>
        <v>81983612930</v>
      </c>
      <c r="C365" t="str">
        <f>"EVERYDAY COUNTER-ANN-WIFE pkg/4-44452"</f>
        <v>EVERYDAY COUNTER-ANN-WIFE pkg/4-44452</v>
      </c>
      <c r="D365" s="3" t="str">
        <f>"44452"</f>
        <v>44452</v>
      </c>
      <c r="E365" s="3" t="str">
        <f>"ED28D014"</f>
        <v>ED28D014</v>
      </c>
    </row>
    <row r="366" spans="1:5" x14ac:dyDescent="0.25">
      <c r="A366" s="3" t="str">
        <f>"307927"</f>
        <v>307927</v>
      </c>
      <c r="B366" s="4" t="str">
        <f>"81983678486"</f>
        <v>81983678486</v>
      </c>
      <c r="C366" t="str">
        <f>"EVERYDAY COUNTER-ANN-HUSBAND PKG/6-44449"</f>
        <v>EVERYDAY COUNTER-ANN-HUSBAND PKG/6-44449</v>
      </c>
      <c r="D366" s="3" t="str">
        <f>"44449"</f>
        <v>44449</v>
      </c>
      <c r="E366" s="3" t="str">
        <f>"ED28D015"</f>
        <v>ED28D015</v>
      </c>
    </row>
    <row r="367" spans="1:5" x14ac:dyDescent="0.25">
      <c r="A367" s="3" t="str">
        <f>"308199"</f>
        <v>308199</v>
      </c>
      <c r="B367" s="4" t="str">
        <f>"81983677106"</f>
        <v>81983677106</v>
      </c>
      <c r="C367" t="str">
        <f>"EVERYDAY COUNTER-ANNIVERSARY HUSBAND PKG/6-91974"</f>
        <v>EVERYDAY COUNTER-ANNIVERSARY HUSBAND PKG/6-91974</v>
      </c>
      <c r="D367" s="3" t="str">
        <f>"91974"</f>
        <v>91974</v>
      </c>
      <c r="E367" s="3" t="str">
        <f>"ED28D016"</f>
        <v>ED28D016</v>
      </c>
    </row>
    <row r="368" spans="1:5" x14ac:dyDescent="0.25">
      <c r="A368" s="3" t="str">
        <f>"279540"</f>
        <v>279540</v>
      </c>
      <c r="B368" s="4" t="str">
        <f>"81983738951"</f>
        <v>81983738951</v>
      </c>
      <c r="C368" t="str">
        <f>"EVERYDAY COUNTER-WEDDING PKG/6-J5562"</f>
        <v>EVERYDAY COUNTER-WEDDING PKG/6-J5562</v>
      </c>
      <c r="D368" s="3" t="str">
        <f>"J5562"</f>
        <v>J5562</v>
      </c>
      <c r="E368" s="3" t="str">
        <f>"ED28D017"</f>
        <v>ED28D017</v>
      </c>
    </row>
    <row r="369" spans="1:5" x14ac:dyDescent="0.25">
      <c r="A369" s="3" t="str">
        <f>"279648"</f>
        <v>279648</v>
      </c>
      <c r="B369" s="4" t="str">
        <f>"81983757877"</f>
        <v>81983757877</v>
      </c>
      <c r="C369" t="str">
        <f>"EVERYDAY COUNTER-WEDDING PKG/6-J8235"</f>
        <v>EVERYDAY COUNTER-WEDDING PKG/6-J8235</v>
      </c>
      <c r="D369" s="3" t="str">
        <f>"J8235"</f>
        <v>J8235</v>
      </c>
      <c r="E369" s="3" t="str">
        <f>"ED28D018"</f>
        <v>ED28D018</v>
      </c>
    </row>
    <row r="370" spans="1:5" x14ac:dyDescent="0.25">
      <c r="A370" s="3" t="str">
        <f>"279538"</f>
        <v>279538</v>
      </c>
      <c r="B370" s="4" t="str">
        <f>"81983738944"</f>
        <v>81983738944</v>
      </c>
      <c r="C370" t="str">
        <f>"EVERYDAY COUNTER-WEDDING PKG/6-J5561"</f>
        <v>EVERYDAY COUNTER-WEDDING PKG/6-J5561</v>
      </c>
      <c r="D370" s="3" t="str">
        <f>"J5561"</f>
        <v>J5561</v>
      </c>
      <c r="E370" s="3" t="str">
        <f>"ED28D019"</f>
        <v>ED28D019</v>
      </c>
    </row>
    <row r="371" spans="1:5" x14ac:dyDescent="0.25">
      <c r="A371" s="3" t="str">
        <f>"345224"</f>
        <v>345224</v>
      </c>
      <c r="B371" s="4" t="str">
        <f>"81983788994"</f>
        <v>81983788994</v>
      </c>
      <c r="C371" t="str">
        <f>"EVERYDAY COUNTER-WEDDING-PREMIUM PKG/2"</f>
        <v>EVERYDAY COUNTER-WEDDING-PREMIUM PKG/2</v>
      </c>
      <c r="D371" s="3" t="str">
        <f>"U1985"</f>
        <v>U1985</v>
      </c>
      <c r="E371" s="3" t="str">
        <f>"ED28D020"</f>
        <v>ED28D020</v>
      </c>
    </row>
    <row r="372" spans="1:5" x14ac:dyDescent="0.25">
      <c r="A372" s="3" t="str">
        <f>"345226"</f>
        <v>345226</v>
      </c>
      <c r="B372" s="4" t="str">
        <f>"81983789014"</f>
        <v>81983789014</v>
      </c>
      <c r="C372" t="str">
        <f>"EVERYDAY COUNTER-WEDDING-PREMIUM PKG/2"</f>
        <v>EVERYDAY COUNTER-WEDDING-PREMIUM PKG/2</v>
      </c>
      <c r="D372" s="3" t="str">
        <f>"U1987"</f>
        <v>U1987</v>
      </c>
      <c r="E372" s="3" t="str">
        <f>"ED28D021"</f>
        <v>ED28D021</v>
      </c>
    </row>
    <row r="373" spans="1:5" x14ac:dyDescent="0.25">
      <c r="A373" s="3" t="str">
        <f>"298769"</f>
        <v>298769</v>
      </c>
      <c r="B373" s="4" t="str">
        <f>"81983771729"</f>
        <v>81983771729</v>
      </c>
      <c r="C373" t="str">
        <f>"EVERYDAY COUNTER-ANN-WIFE PKG/6-J9884"</f>
        <v>EVERYDAY COUNTER-ANN-WIFE PKG/6-J9884</v>
      </c>
      <c r="D373" s="3" t="str">
        <f>"J9884"</f>
        <v>J9884</v>
      </c>
      <c r="E373" s="3" t="str">
        <f>"ED28D022"</f>
        <v>ED28D022</v>
      </c>
    </row>
    <row r="374" spans="1:5" x14ac:dyDescent="0.25">
      <c r="A374" s="3" t="str">
        <f>"279568"</f>
        <v>279568</v>
      </c>
      <c r="B374" s="4" t="str">
        <f>"81983757228"</f>
        <v>81983757228</v>
      </c>
      <c r="C374" t="str">
        <f>"EVERYDAY COUNTER-ANNIVERSARY - HUSBAND PKG/6-J8170"</f>
        <v>EVERYDAY COUNTER-ANNIVERSARY - HUSBAND PKG/6-J8170</v>
      </c>
      <c r="D374" s="3" t="str">
        <f>"J8170"</f>
        <v>J8170</v>
      </c>
      <c r="E374" s="3" t="str">
        <f>"ED28D023"</f>
        <v>ED28D023</v>
      </c>
    </row>
    <row r="375" spans="1:5" x14ac:dyDescent="0.25">
      <c r="A375" s="3" t="str">
        <f>"298682"</f>
        <v>298682</v>
      </c>
      <c r="B375" s="4" t="str">
        <f>"81983772887"</f>
        <v>81983772887</v>
      </c>
      <c r="C375" t="str">
        <f>"EVERYDAY COUNTER-ANN HUSBAND PKG/6-10252"</f>
        <v>EVERYDAY COUNTER-ANN HUSBAND PKG/6-10252</v>
      </c>
      <c r="D375" s="3" t="str">
        <f>"10252"</f>
        <v>10252</v>
      </c>
      <c r="E375" s="3" t="str">
        <f>"ED28D024"</f>
        <v>ED28D024</v>
      </c>
    </row>
    <row r="376" spans="1:5" x14ac:dyDescent="0.25">
      <c r="A376" s="3" t="str">
        <f>"308264"</f>
        <v>308264</v>
      </c>
      <c r="B376" s="4" t="str">
        <f>"81983679575"</f>
        <v>81983679575</v>
      </c>
      <c r="C376" t="str">
        <f>"EVERYDAY COUNTER-WEDDING PKG/6-93235"</f>
        <v>EVERYDAY COUNTER-WEDDING PKG/6-93235</v>
      </c>
      <c r="D376" s="3" t="str">
        <f>"93235"</f>
        <v>93235</v>
      </c>
      <c r="E376" s="3" t="str">
        <f>"ED28D025"</f>
        <v>ED28D025</v>
      </c>
    </row>
    <row r="377" spans="1:5" x14ac:dyDescent="0.25">
      <c r="A377" s="3" t="str">
        <f>"279653"</f>
        <v>279653</v>
      </c>
      <c r="B377" s="4" t="str">
        <f>"81983757891"</f>
        <v>81983757891</v>
      </c>
      <c r="C377" t="str">
        <f>"EVERYDAY COUNTER-WEDDING PKG/6-J8237"</f>
        <v>EVERYDAY COUNTER-WEDDING PKG/6-J8237</v>
      </c>
      <c r="D377" s="3" t="str">
        <f>"J8237"</f>
        <v>J8237</v>
      </c>
      <c r="E377" s="3" t="str">
        <f>"ED28D026"</f>
        <v>ED28D026</v>
      </c>
    </row>
    <row r="378" spans="1:5" x14ac:dyDescent="0.25">
      <c r="A378" s="3" t="str">
        <f>"298713"</f>
        <v>298713</v>
      </c>
      <c r="B378" s="4" t="str">
        <f>"81983772344"</f>
        <v>81983772344</v>
      </c>
      <c r="C378" t="str">
        <f>"EVERYDAY COUNTER-WEDDING ENGAGEMENT PKG/6-J9946"</f>
        <v>EVERYDAY COUNTER-WEDDING ENGAGEMENT PKG/6-J9946</v>
      </c>
      <c r="D378" s="3" t="str">
        <f>"J9946"</f>
        <v>J9946</v>
      </c>
      <c r="E378" s="3" t="str">
        <f>"ED28D027"</f>
        <v>ED28D027</v>
      </c>
    </row>
    <row r="379" spans="1:5" x14ac:dyDescent="0.25">
      <c r="A379" s="3" t="str">
        <f>"345225"</f>
        <v>345225</v>
      </c>
      <c r="B379" s="4" t="str">
        <f>"81983789007"</f>
        <v>81983789007</v>
      </c>
      <c r="C379" t="str">
        <f>"EVERYDAY COUNTER-WEDDING-PREMIUM PKG/2"</f>
        <v>EVERYDAY COUNTER-WEDDING-PREMIUM PKG/2</v>
      </c>
      <c r="D379" s="3" t="str">
        <f>"U1986"</f>
        <v>U1986</v>
      </c>
      <c r="E379" s="3" t="str">
        <f>"ED28D028"</f>
        <v>ED28D028</v>
      </c>
    </row>
    <row r="380" spans="1:5" x14ac:dyDescent="0.25">
      <c r="A380" s="3" t="str">
        <f>"345274"</f>
        <v>345274</v>
      </c>
      <c r="B380" s="4" t="str">
        <f>"81983794612"</f>
        <v>81983794612</v>
      </c>
      <c r="C380" t="str">
        <f>"EVERYDAY COUNTER-WEDDING PKG/6-U2680"</f>
        <v>EVERYDAY COUNTER-WEDDING PKG/6-U2680</v>
      </c>
      <c r="D380" s="3" t="str">
        <f>"U2680"</f>
        <v>U2680</v>
      </c>
      <c r="E380" s="3" t="str">
        <f>"ED28D029"</f>
        <v>ED28D029</v>
      </c>
    </row>
    <row r="381" spans="1:5" x14ac:dyDescent="0.25">
      <c r="A381" s="3" t="str">
        <f>"308137"</f>
        <v>308137</v>
      </c>
      <c r="B381" s="4" t="str">
        <f>"81983678653"</f>
        <v>81983678653</v>
      </c>
      <c r="C381" t="str">
        <f>"EVERYDAY COUNTER-ANNIVERSARY-WIFE/PARTNER &amp; FRIEND PKG/6-79256"</f>
        <v>EVERYDAY COUNTER-ANNIVERSARY-WIFE/PARTNER &amp; FRIEND PKG/6-79256</v>
      </c>
      <c r="D381" s="3" t="str">
        <f>"79256"</f>
        <v>79256</v>
      </c>
      <c r="E381" s="3" t="str">
        <f>"ED28D030"</f>
        <v>ED28D030</v>
      </c>
    </row>
    <row r="382" spans="1:5" x14ac:dyDescent="0.25">
      <c r="A382" s="3" t="str">
        <f>"298675"</f>
        <v>298675</v>
      </c>
      <c r="B382" s="4" t="str">
        <f>"81983772870"</f>
        <v>81983772870</v>
      </c>
      <c r="C382" t="str">
        <f>"EVERYDAY COUNTER-ANN HUSBAND PKG/6-10241"</f>
        <v>EVERYDAY COUNTER-ANN HUSBAND PKG/6-10241</v>
      </c>
      <c r="D382" s="3" t="str">
        <f>"10241"</f>
        <v>10241</v>
      </c>
      <c r="E382" s="3" t="str">
        <f>"ED28D031"</f>
        <v>ED28D031</v>
      </c>
    </row>
    <row r="383" spans="1:5" x14ac:dyDescent="0.25">
      <c r="A383" s="3" t="str">
        <f>"298673"</f>
        <v>298673</v>
      </c>
      <c r="B383" s="4" t="str">
        <f>"81983772863"</f>
        <v>81983772863</v>
      </c>
      <c r="C383" t="str">
        <f>"EVERYDAY COUNTER-ANN HUSBAND PKG/6-10237"</f>
        <v>EVERYDAY COUNTER-ANN HUSBAND PKG/6-10237</v>
      </c>
      <c r="D383" s="3" t="str">
        <f>"10237"</f>
        <v>10237</v>
      </c>
      <c r="E383" s="3" t="str">
        <f>"ED28D032"</f>
        <v>ED28D032</v>
      </c>
    </row>
    <row r="384" spans="1:5" x14ac:dyDescent="0.25">
      <c r="A384" s="3" t="str">
        <f>"308240"</f>
        <v>308240</v>
      </c>
      <c r="B384" s="4" t="str">
        <f>"81983677601"</f>
        <v>81983677601</v>
      </c>
      <c r="C384" t="str">
        <f>"EVERYDAY COUNTER-WEDDING PKG/6-92030"</f>
        <v>EVERYDAY COUNTER-WEDDING PKG/6-92030</v>
      </c>
      <c r="D384" s="3" t="str">
        <f>"92030"</f>
        <v>92030</v>
      </c>
      <c r="E384" s="3" t="str">
        <f>"ED28D033"</f>
        <v>ED28D033</v>
      </c>
    </row>
    <row r="385" spans="1:5" x14ac:dyDescent="0.25">
      <c r="A385" s="3" t="str">
        <f>"308239"</f>
        <v>308239</v>
      </c>
      <c r="B385" s="4" t="str">
        <f>"081983774799"</f>
        <v>081983774799</v>
      </c>
      <c r="C385" t="str">
        <f>"EVERYDAY COUNTER-WEDDING PKG/6-92028"</f>
        <v>EVERYDAY COUNTER-WEDDING PKG/6-92028</v>
      </c>
      <c r="D385" s="3" t="str">
        <f>"92028"</f>
        <v>92028</v>
      </c>
      <c r="E385" s="3" t="str">
        <f>"ED28D034"</f>
        <v>ED28D034</v>
      </c>
    </row>
    <row r="386" spans="1:5" x14ac:dyDescent="0.25">
      <c r="A386" s="3" t="str">
        <f>"279647"</f>
        <v>279647</v>
      </c>
      <c r="B386" s="4" t="str">
        <f>"81983757860"</f>
        <v>81983757860</v>
      </c>
      <c r="C386" t="str">
        <f>"EVERYDAY COUNTER-WEDDING-ENGAGEMENT PKG/6-J8234"</f>
        <v>EVERYDAY COUNTER-WEDDING-ENGAGEMENT PKG/6-J8234</v>
      </c>
      <c r="D386" s="3" t="str">
        <f>"J8234"</f>
        <v>J8234</v>
      </c>
      <c r="E386" s="3" t="str">
        <f>"ED28D035"</f>
        <v>ED28D035</v>
      </c>
    </row>
    <row r="387" spans="1:5" x14ac:dyDescent="0.25">
      <c r="A387" s="3" t="str">
        <f>"345232"</f>
        <v>345232</v>
      </c>
      <c r="B387" s="4" t="str">
        <f>"81983793561"</f>
        <v>81983793561</v>
      </c>
      <c r="C387" t="str">
        <f>"EVERYDAY COUNTER-ANNIVERSARY ONE I LOVE SPOUSE PKG/6"</f>
        <v>EVERYDAY COUNTER-ANNIVERSARY ONE I LOVE SPOUSE PKG/6</v>
      </c>
      <c r="D387" s="3" t="str">
        <f>"U2572"</f>
        <v>U2572</v>
      </c>
      <c r="E387" s="3" t="str">
        <f>"ED28D036"</f>
        <v>ED28D036</v>
      </c>
    </row>
    <row r="388" spans="1:5" x14ac:dyDescent="0.25">
      <c r="A388" s="3" t="str">
        <f>"345236"</f>
        <v>345236</v>
      </c>
      <c r="B388" s="4" t="str">
        <f>"81983793608"</f>
        <v>81983793608</v>
      </c>
      <c r="C388" t="str">
        <f>"EVERYDAY COUNTER-ANNIVERSARY PKG/6-U2576"</f>
        <v>EVERYDAY COUNTER-ANNIVERSARY PKG/6-U2576</v>
      </c>
      <c r="D388" s="3" t="str">
        <f>"U2576"</f>
        <v>U2576</v>
      </c>
      <c r="E388" s="3" t="str">
        <f>"ED28D037"</f>
        <v>ED28D037</v>
      </c>
    </row>
    <row r="389" spans="1:5" x14ac:dyDescent="0.25">
      <c r="A389" s="3" t="str">
        <f>"308437"</f>
        <v>308437</v>
      </c>
      <c r="B389" s="4" t="str">
        <f>"81983721618"</f>
        <v>81983721618</v>
      </c>
      <c r="C389" t="str">
        <f>"EVERYDAY COUNTER-WIFE ANNIVERSARY/PINK WITH FLOWERS PKG/6-J3413"</f>
        <v>EVERYDAY COUNTER-WIFE ANNIVERSARY/PINK WITH FLOWERS PKG/6-J3413</v>
      </c>
      <c r="D389" s="3" t="str">
        <f>"J3413"</f>
        <v>J3413</v>
      </c>
      <c r="E389" s="3" t="str">
        <f>"ED28D038"</f>
        <v>ED28D038</v>
      </c>
    </row>
    <row r="390" spans="1:5" x14ac:dyDescent="0.25">
      <c r="A390" s="3" t="str">
        <f>"308260"</f>
        <v>308260</v>
      </c>
      <c r="B390" s="4" t="str">
        <f>"81983679087"</f>
        <v>81983679087</v>
      </c>
      <c r="C390" t="str">
        <f>"EVERYDAY COUNTER-ANNIVERSARY - HUSBAND PKG/6-92261"</f>
        <v>EVERYDAY COUNTER-ANNIVERSARY - HUSBAND PKG/6-92261</v>
      </c>
      <c r="D390" s="3" t="str">
        <f>"92261"</f>
        <v>92261</v>
      </c>
      <c r="E390" s="3" t="str">
        <f>"ED28D039"</f>
        <v>ED28D039</v>
      </c>
    </row>
    <row r="391" spans="1:5" x14ac:dyDescent="0.25">
      <c r="A391" s="3" t="str">
        <f>"279569"</f>
        <v>279569</v>
      </c>
      <c r="B391" s="4" t="str">
        <f>"81983757235"</f>
        <v>81983757235</v>
      </c>
      <c r="C391" t="str">
        <f>"EVERYDAY COUNTER-ANNIVERSARY - HUSBAND PKG/6-J8171"</f>
        <v>EVERYDAY COUNTER-ANNIVERSARY - HUSBAND PKG/6-J8171</v>
      </c>
      <c r="D391" s="3" t="str">
        <f>"J8171"</f>
        <v>J8171</v>
      </c>
      <c r="E391" s="3" t="str">
        <f>"ED28D040"</f>
        <v>ED28D040</v>
      </c>
    </row>
    <row r="392" spans="1:5" x14ac:dyDescent="0.25">
      <c r="A392" s="3" t="str">
        <f>"308263"</f>
        <v>308263</v>
      </c>
      <c r="B392" s="4" t="str">
        <f>"81983679100"</f>
        <v>81983679100</v>
      </c>
      <c r="C392" t="str">
        <f>"EVERYDAY COUNTER-WEDDING PKG/6-92327"</f>
        <v>EVERYDAY COUNTER-WEDDING PKG/6-92327</v>
      </c>
      <c r="D392" s="3" t="str">
        <f>"92327"</f>
        <v>92327</v>
      </c>
      <c r="E392" s="3" t="str">
        <f>"ED28D041"</f>
        <v>ED28D041</v>
      </c>
    </row>
    <row r="393" spans="1:5" x14ac:dyDescent="0.25">
      <c r="A393" s="3" t="str">
        <f>"279654"</f>
        <v>279654</v>
      </c>
      <c r="B393" s="4" t="str">
        <f>"81983757907"</f>
        <v>81983757907</v>
      </c>
      <c r="C393" t="str">
        <f>"EVERYDAY COUNTER-WEDDING PKG/6-J8238"</f>
        <v>EVERYDAY COUNTER-WEDDING PKG/6-J8238</v>
      </c>
      <c r="D393" s="3" t="str">
        <f>"J8238"</f>
        <v>J8238</v>
      </c>
      <c r="E393" s="3" t="str">
        <f>"ED28D042"</f>
        <v>ED28D042</v>
      </c>
    </row>
    <row r="394" spans="1:5" x14ac:dyDescent="0.25">
      <c r="A394" s="3" t="str">
        <f>"345269"</f>
        <v>345269</v>
      </c>
      <c r="B394" s="4" t="str">
        <f>"81983793882"</f>
        <v>81983793882</v>
      </c>
      <c r="C394" t="str">
        <f>"EVERYDAY COUNTER-WEDDING/WIFE PKG/6"</f>
        <v>EVERYDAY COUNTER-WEDDING/WIFE PKG/6</v>
      </c>
      <c r="D394" s="3" t="str">
        <f>"U2604"</f>
        <v>U2604</v>
      </c>
      <c r="E394" s="3" t="str">
        <f>"ED28D043"</f>
        <v>ED28D043</v>
      </c>
    </row>
    <row r="395" spans="1:5" x14ac:dyDescent="0.25">
      <c r="A395" s="3" t="str">
        <f>"308107"</f>
        <v>308107</v>
      </c>
      <c r="B395" s="4" t="str">
        <f>"81983644245"</f>
        <v>81983644245</v>
      </c>
      <c r="C395" t="str">
        <f>"EVERYDAY COUNTER-ONE I LOVE ANNIVERSARY-76414"</f>
        <v>EVERYDAY COUNTER-ONE I LOVE ANNIVERSARY-76414</v>
      </c>
      <c r="D395" s="3" t="str">
        <f>"76414"</f>
        <v>76414</v>
      </c>
      <c r="E395" s="3" t="str">
        <f>"ED28D044"</f>
        <v>ED28D044</v>
      </c>
    </row>
    <row r="396" spans="1:5" x14ac:dyDescent="0.25">
      <c r="A396" s="3" t="str">
        <f>"298724"</f>
        <v>298724</v>
      </c>
      <c r="B396" s="4" t="str">
        <f>"81983772948"</f>
        <v>81983772948</v>
      </c>
      <c r="C396" t="str">
        <f>"EVERYDAY COUNTER-ANNIVERSARY-WIFE PKG/6-11518"</f>
        <v>EVERYDAY COUNTER-ANNIVERSARY-WIFE PKG/6-11518</v>
      </c>
      <c r="D396" s="3" t="str">
        <f>"11518"</f>
        <v>11518</v>
      </c>
      <c r="E396" s="3" t="str">
        <f>"ED28D045"</f>
        <v>ED28D045</v>
      </c>
    </row>
    <row r="397" spans="1:5" x14ac:dyDescent="0.25">
      <c r="A397" s="3" t="str">
        <f>"345235"</f>
        <v>345235</v>
      </c>
      <c r="B397" s="4" t="str">
        <f>"81983793592"</f>
        <v>81983793592</v>
      </c>
      <c r="C397" t="str">
        <f>"EVERYDAY COUNTER-ANNIVERSARY PKG/6-U2575"</f>
        <v>EVERYDAY COUNTER-ANNIVERSARY PKG/6-U2575</v>
      </c>
      <c r="D397" s="3" t="str">
        <f>"U2575"</f>
        <v>U2575</v>
      </c>
      <c r="E397" s="3" t="str">
        <f>"ED28D046"</f>
        <v>ED28D046</v>
      </c>
    </row>
    <row r="398" spans="1:5" x14ac:dyDescent="0.25">
      <c r="A398" s="3" t="str">
        <f>"308135"</f>
        <v>308135</v>
      </c>
      <c r="B398" s="4" t="str">
        <f>"81983461972"</f>
        <v>81983461972</v>
      </c>
      <c r="C398" t="str">
        <f>"EVERYDAY COUNTER-ANNIVERSARY-HUSBAND/FOR MY HUSBAND PKG/6-79236"</f>
        <v>EVERYDAY COUNTER-ANNIVERSARY-HUSBAND/FOR MY HUSBAND PKG/6-79236</v>
      </c>
      <c r="D398" s="3" t="str">
        <f>"79236"</f>
        <v>79236</v>
      </c>
      <c r="E398" s="3" t="str">
        <f>"ED28D047"</f>
        <v>ED28D047</v>
      </c>
    </row>
    <row r="399" spans="1:5" x14ac:dyDescent="0.25">
      <c r="A399" s="3" t="str">
        <f>"279570"</f>
        <v>279570</v>
      </c>
      <c r="B399" s="4" t="str">
        <f>"81983772856"</f>
        <v>81983772856</v>
      </c>
      <c r="C399" t="str">
        <f>"EVERYDAY COUNTER-ANNIVERSARY - HUSBAND PKG/6-J8172"</f>
        <v>EVERYDAY COUNTER-ANNIVERSARY - HUSBAND PKG/6-J8172</v>
      </c>
      <c r="D399" s="3" t="str">
        <f>"J8172"</f>
        <v>J8172</v>
      </c>
      <c r="E399" s="3" t="str">
        <f>"ED28D048"</f>
        <v>ED28D048</v>
      </c>
    </row>
    <row r="400" spans="1:5" x14ac:dyDescent="0.25">
      <c r="A400" s="3" t="str">
        <f>"308238"</f>
        <v>308238</v>
      </c>
      <c r="B400" s="4" t="str">
        <f>"81983774805"</f>
        <v>81983774805</v>
      </c>
      <c r="C400" t="str">
        <f>"EVERYDAY COUNTER-WEDDING PKG/6-92026"</f>
        <v>EVERYDAY COUNTER-WEDDING PKG/6-92026</v>
      </c>
      <c r="D400" s="3" t="str">
        <f>"92026"</f>
        <v>92026</v>
      </c>
      <c r="E400" s="3" t="str">
        <f>"ED28D049"</f>
        <v>ED28D049</v>
      </c>
    </row>
    <row r="401" spans="1:5" x14ac:dyDescent="0.25">
      <c r="A401" s="3" t="str">
        <f>"308242"</f>
        <v>308242</v>
      </c>
      <c r="B401" s="4" t="str">
        <f>"81983677632"</f>
        <v>81983677632</v>
      </c>
      <c r="C401" t="str">
        <f>"EVERYDAY COUNTER-WEDDING PKG/6-92036"</f>
        <v>EVERYDAY COUNTER-WEDDING PKG/6-92036</v>
      </c>
      <c r="D401" s="3" t="str">
        <f>"92036"</f>
        <v>92036</v>
      </c>
      <c r="E401" s="3" t="str">
        <f>"ED28D050"</f>
        <v>ED28D050</v>
      </c>
    </row>
    <row r="402" spans="1:5" x14ac:dyDescent="0.25">
      <c r="A402" s="3" t="str">
        <f>"345268"</f>
        <v>345268</v>
      </c>
      <c r="B402" s="4" t="str">
        <f>"81983793875"</f>
        <v>81983793875</v>
      </c>
      <c r="C402" t="str">
        <f>"EVERYDAY COUNTER-WEDDING/HUSBAND PKG/6"</f>
        <v>EVERYDAY COUNTER-WEDDING/HUSBAND PKG/6</v>
      </c>
      <c r="D402" s="3" t="str">
        <f>"U2603"</f>
        <v>U2603</v>
      </c>
      <c r="E402" s="3" t="str">
        <f>"ED28D051"</f>
        <v>ED28D051</v>
      </c>
    </row>
    <row r="403" spans="1:5" x14ac:dyDescent="0.25">
      <c r="A403" s="3" t="str">
        <f>"345231"</f>
        <v>345231</v>
      </c>
      <c r="B403" s="4" t="str">
        <f>"81983793554"</f>
        <v>81983793554</v>
      </c>
      <c r="C403" t="str">
        <f>"EVERYDAY COUNTER-ANNIVERSARY ONE I LOVE SPOUSE PKG/6"</f>
        <v>EVERYDAY COUNTER-ANNIVERSARY ONE I LOVE SPOUSE PKG/6</v>
      </c>
      <c r="D403" s="3" t="str">
        <f>"U2571"</f>
        <v>U2571</v>
      </c>
      <c r="E403" s="3" t="str">
        <f>"ED28D052"</f>
        <v>ED28D052</v>
      </c>
    </row>
    <row r="404" spans="1:5" x14ac:dyDescent="0.25">
      <c r="A404" s="3" t="str">
        <f>"298728"</f>
        <v>298728</v>
      </c>
      <c r="B404" s="4" t="str">
        <f>"81983771736"</f>
        <v>81983771736</v>
      </c>
      <c r="C404" t="str">
        <f>"EVERYDAY COUNTER-ANNIVERSARY-WIFE PKG/6-J9885"</f>
        <v>EVERYDAY COUNTER-ANNIVERSARY-WIFE PKG/6-J9885</v>
      </c>
      <c r="D404" s="3" t="str">
        <f>"J9885"</f>
        <v>J9885</v>
      </c>
      <c r="E404" s="3" t="str">
        <f>"ED28D053"</f>
        <v>ED28D053</v>
      </c>
    </row>
    <row r="405" spans="1:5" x14ac:dyDescent="0.25">
      <c r="A405" s="3" t="str">
        <f>"279572"</f>
        <v>279572</v>
      </c>
      <c r="B405" s="4" t="str">
        <f>"81983757259"</f>
        <v>81983757259</v>
      </c>
      <c r="C405" t="str">
        <f>"EVERYDAY COUNTER-ANNIVERSARY-WIFE PKG/6-J8173"</f>
        <v>EVERYDAY COUNTER-ANNIVERSARY-WIFE PKG/6-J8173</v>
      </c>
      <c r="D405" s="3" t="str">
        <f>"J8173"</f>
        <v>J8173</v>
      </c>
      <c r="E405" s="3" t="str">
        <f>"ED28D054"</f>
        <v>ED28D054</v>
      </c>
    </row>
    <row r="406" spans="1:5" x14ac:dyDescent="0.25">
      <c r="A406" s="3" t="str">
        <f>"308136"</f>
        <v>308136</v>
      </c>
      <c r="B406" s="4" t="str">
        <f>"81983771699"</f>
        <v>81983771699</v>
      </c>
      <c r="C406" t="str">
        <f>"EVERYDAY COUNTER-ANNIVERSARY-HUSBAND/MY LOVE PKG/6-J9881"</f>
        <v>EVERYDAY COUNTER-ANNIVERSARY-HUSBAND/MY LOVE PKG/6-J9881</v>
      </c>
      <c r="D406" s="3" t="str">
        <f>"J9881"</f>
        <v>J9881</v>
      </c>
      <c r="E406" s="3" t="str">
        <f>"ED28D055"</f>
        <v>ED28D055</v>
      </c>
    </row>
    <row r="407" spans="1:5" x14ac:dyDescent="0.25">
      <c r="A407" s="3" t="str">
        <f>"308106"</f>
        <v>308106</v>
      </c>
      <c r="B407" s="4" t="str">
        <f>"81983771705"</f>
        <v>81983771705</v>
      </c>
      <c r="C407" t="str">
        <f>"EVERYDAY COUNTER-HUSBAND ANNIVERSARY-J9882"</f>
        <v>EVERYDAY COUNTER-HUSBAND ANNIVERSARY-J9882</v>
      </c>
      <c r="D407" s="3" t="str">
        <f>"J9882"</f>
        <v>J9882</v>
      </c>
      <c r="E407" s="3" t="str">
        <f>"ED28D056"</f>
        <v>ED28D056</v>
      </c>
    </row>
    <row r="408" spans="1:5" x14ac:dyDescent="0.25">
      <c r="A408" s="3" t="str">
        <f>"308237"</f>
        <v>308237</v>
      </c>
      <c r="B408" s="4" t="str">
        <f>"81983677571"</f>
        <v>81983677571</v>
      </c>
      <c r="C408" t="str">
        <f>"EVERYDAY COUNTER-WEDDING PKG/6-92025"</f>
        <v>EVERYDAY COUNTER-WEDDING PKG/6-92025</v>
      </c>
      <c r="D408" s="3" t="str">
        <f>"92025"</f>
        <v>92025</v>
      </c>
      <c r="E408" s="3" t="str">
        <f>"ED28D057"</f>
        <v>ED28D057</v>
      </c>
    </row>
    <row r="409" spans="1:5" x14ac:dyDescent="0.25">
      <c r="A409" s="3" t="str">
        <f>"308236"</f>
        <v>308236</v>
      </c>
      <c r="B409" s="4" t="str">
        <f>"81983774850"</f>
        <v>81983774850</v>
      </c>
      <c r="C409" t="str">
        <f>"EVERYDAY COUNTER-WEDDING PKG/6-92024"</f>
        <v>EVERYDAY COUNTER-WEDDING PKG/6-92024</v>
      </c>
      <c r="D409" s="3" t="str">
        <f>"92024"</f>
        <v>92024</v>
      </c>
      <c r="E409" s="3" t="str">
        <f>"ED28D058"</f>
        <v>ED28D058</v>
      </c>
    </row>
    <row r="410" spans="1:5" x14ac:dyDescent="0.25">
      <c r="A410" s="3" t="str">
        <f>"307926"</f>
        <v>307926</v>
      </c>
      <c r="B410" s="4" t="str">
        <f>"81983751721"</f>
        <v>81983751721</v>
      </c>
      <c r="C410" t="str">
        <f>"EVERYDAY COUNTER-WEDDING-THANK YOU-11718"</f>
        <v>EVERYDAY COUNTER-WEDDING-THANK YOU-11718</v>
      </c>
      <c r="D410" s="3" t="str">
        <f>"11718"</f>
        <v>11718</v>
      </c>
      <c r="E410" s="3" t="str">
        <f>"ED28D059"</f>
        <v>ED28D059</v>
      </c>
    </row>
    <row r="411" spans="1:5" x14ac:dyDescent="0.25">
      <c r="A411" s="3" t="str">
        <f>"298709"</f>
        <v>298709</v>
      </c>
      <c r="B411" s="4" t="str">
        <f>"81983772795"</f>
        <v>81983772795</v>
      </c>
      <c r="C411" t="str">
        <f>"EVERYDAY COUNTER-ANNIVERSARY COUPLE PKG/6-10290"</f>
        <v>EVERYDAY COUNTER-ANNIVERSARY COUPLE PKG/6-10290</v>
      </c>
      <c r="D411" s="3" t="str">
        <f>"10290"</f>
        <v>10290</v>
      </c>
      <c r="E411" s="3" t="str">
        <f>"ED28D060"</f>
        <v>ED28D060</v>
      </c>
    </row>
    <row r="412" spans="1:5" x14ac:dyDescent="0.25">
      <c r="A412" s="3" t="str">
        <f>"308197"</f>
        <v>308197</v>
      </c>
      <c r="B412" s="4" t="str">
        <f>"81983677083"</f>
        <v>81983677083</v>
      </c>
      <c r="C412" t="str">
        <f>"EVERYDAY COUNTER-ANNIVERSARY FOR ANYONE PKG/6-91972"</f>
        <v>EVERYDAY COUNTER-ANNIVERSARY FOR ANYONE PKG/6-91972</v>
      </c>
      <c r="D412" s="3" t="str">
        <f>"91972"</f>
        <v>91972</v>
      </c>
      <c r="E412" s="3" t="str">
        <f>"ED28D061"</f>
        <v>ED28D061</v>
      </c>
    </row>
    <row r="413" spans="1:5" x14ac:dyDescent="0.25">
      <c r="A413" s="3" t="str">
        <f>"279573"</f>
        <v>279573</v>
      </c>
      <c r="B413" s="4" t="str">
        <f>"81983757266"</f>
        <v>81983757266</v>
      </c>
      <c r="C413" t="str">
        <f>"EVERYDAY COUNTER-ANNIVERSARY-WIFE PKG/6-J8174"</f>
        <v>EVERYDAY COUNTER-ANNIVERSARY-WIFE PKG/6-J8174</v>
      </c>
      <c r="D413" s="3" t="str">
        <f>"J8174"</f>
        <v>J8174</v>
      </c>
      <c r="E413" s="3" t="str">
        <f>"ED28D062"</f>
        <v>ED28D062</v>
      </c>
    </row>
    <row r="414" spans="1:5" x14ac:dyDescent="0.25">
      <c r="A414" s="3" t="str">
        <f>"298744"</f>
        <v>298744</v>
      </c>
      <c r="B414" s="4" t="str">
        <f>"81983771712"</f>
        <v>81983771712</v>
      </c>
      <c r="C414" t="str">
        <f>"EVERYDAY COUNTER-ANNIVERSARY-HUSBAND PKG/6-J9883"</f>
        <v>EVERYDAY COUNTER-ANNIVERSARY-HUSBAND PKG/6-J9883</v>
      </c>
      <c r="D414" s="3" t="str">
        <f>"J9883"</f>
        <v>J9883</v>
      </c>
      <c r="E414" s="3" t="str">
        <f>"ED28D063"</f>
        <v>ED28D063</v>
      </c>
    </row>
    <row r="415" spans="1:5" x14ac:dyDescent="0.25">
      <c r="A415" s="3" t="str">
        <f>"298681"</f>
        <v>298681</v>
      </c>
      <c r="B415" s="4" t="str">
        <f>"81983772757"</f>
        <v>81983772757</v>
      </c>
      <c r="C415" t="str">
        <f>"EVERYDAY COUNTER-ANNIVERSARY PKG/6-10251"</f>
        <v>EVERYDAY COUNTER-ANNIVERSARY PKG/6-10251</v>
      </c>
      <c r="D415" s="3" t="str">
        <f>"10251"</f>
        <v>10251</v>
      </c>
      <c r="E415" s="3" t="str">
        <f>"ED28D064"</f>
        <v>ED28D064</v>
      </c>
    </row>
    <row r="416" spans="1:5" x14ac:dyDescent="0.25">
      <c r="A416" s="3" t="str">
        <f>"279536"</f>
        <v>279536</v>
      </c>
      <c r="B416" s="4" t="str">
        <f>"81983738920"</f>
        <v>81983738920</v>
      </c>
      <c r="C416" t="str">
        <f>"EVERYDAY COUNTER-WEDDING PKG/6-J5559"</f>
        <v>EVERYDAY COUNTER-WEDDING PKG/6-J5559</v>
      </c>
      <c r="D416" s="3" t="str">
        <f>"J5559"</f>
        <v>J5559</v>
      </c>
      <c r="E416" s="3" t="str">
        <f>"ED28D065"</f>
        <v>ED28D065</v>
      </c>
    </row>
    <row r="417" spans="1:5" x14ac:dyDescent="0.25">
      <c r="A417" s="3" t="str">
        <f>"308122"</f>
        <v>308122</v>
      </c>
      <c r="B417" s="4" t="str">
        <f>"81983603051"</f>
        <v>81983603051</v>
      </c>
      <c r="C417" t="str">
        <f>"EVERYDAY COUNTER-WEDDING-78865"</f>
        <v>EVERYDAY COUNTER-WEDDING-78865</v>
      </c>
      <c r="D417" s="3" t="str">
        <f>"78865"</f>
        <v>78865</v>
      </c>
      <c r="E417" s="3" t="str">
        <f>"ED28D066"</f>
        <v>ED28D066</v>
      </c>
    </row>
    <row r="418" spans="1:5" x14ac:dyDescent="0.25">
      <c r="A418" s="3" t="str">
        <f>"401605"</f>
        <v>401605</v>
      </c>
      <c r="B418" s="4" t="str">
        <f>"81983772399"</f>
        <v>81983772399</v>
      </c>
      <c r="C418" t="str">
        <f>"EVERYDAY COUNTER-WEDDING-THANK YOU-J9951"</f>
        <v>EVERYDAY COUNTER-WEDDING-THANK YOU-J9951</v>
      </c>
      <c r="D418" s="3" t="str">
        <f>"J9951"</f>
        <v>J9951</v>
      </c>
      <c r="E418" s="3" t="str">
        <f>"ED28D067"</f>
        <v>ED28D067</v>
      </c>
    </row>
    <row r="419" spans="1:5" x14ac:dyDescent="0.25">
      <c r="A419" s="3" t="str">
        <f>"298770"</f>
        <v>298770</v>
      </c>
      <c r="B419" s="4" t="str">
        <f>"81983594052"</f>
        <v>81983594052</v>
      </c>
      <c r="C419" t="str">
        <f>"EVERYDAY COUNTER-ANN-FOR ANYONE PKG/6-12033"</f>
        <v>EVERYDAY COUNTER-ANN-FOR ANYONE PKG/6-12033</v>
      </c>
      <c r="D419" s="3" t="str">
        <f>"12033"</f>
        <v>12033</v>
      </c>
      <c r="E419" s="3" t="str">
        <f>"ED28D068"</f>
        <v>ED28D068</v>
      </c>
    </row>
    <row r="420" spans="1:5" x14ac:dyDescent="0.25">
      <c r="A420" s="3" t="str">
        <f>"298707"</f>
        <v>298707</v>
      </c>
      <c r="B420" s="4" t="str">
        <f>"81983771682"</f>
        <v>81983771682</v>
      </c>
      <c r="C420" t="str">
        <f>"EVERYDAY COUNTER-ANNIVERSARY PARENTS PKG/6-J9880"</f>
        <v>EVERYDAY COUNTER-ANNIVERSARY PARENTS PKG/6-J9880</v>
      </c>
      <c r="D420" s="3" t="str">
        <f>"J9880"</f>
        <v>J9880</v>
      </c>
      <c r="E420" s="3" t="str">
        <f>"ED28D069"</f>
        <v>ED28D069</v>
      </c>
    </row>
    <row r="421" spans="1:5" x14ac:dyDescent="0.25">
      <c r="A421" s="3" t="str">
        <f>"345234"</f>
        <v>345234</v>
      </c>
      <c r="B421" s="4" t="str">
        <f>"81983793585"</f>
        <v>81983793585</v>
      </c>
      <c r="C421" t="str">
        <f>"EVERYDAY COUNTER-ANNIVERSARY-MOM/DAD PKG/6"</f>
        <v>EVERYDAY COUNTER-ANNIVERSARY-MOM/DAD PKG/6</v>
      </c>
      <c r="D421" s="3" t="str">
        <f>"U2574"</f>
        <v>U2574</v>
      </c>
      <c r="E421" s="3" t="str">
        <f>"ED28D070"</f>
        <v>ED28D070</v>
      </c>
    </row>
    <row r="422" spans="1:5" x14ac:dyDescent="0.25">
      <c r="A422" s="3" t="str">
        <f>"308130"</f>
        <v>308130</v>
      </c>
      <c r="B422" s="4" t="str">
        <f>"81983603464"</f>
        <v>81983603464</v>
      </c>
      <c r="C422" t="str">
        <f>"EVERYDAY COUNTER-50TH ANNIVERSARY/BLUE BIRDS PKG/6-79211"</f>
        <v>EVERYDAY COUNTER-50TH ANNIVERSARY/BLUE BIRDS PKG/6-79211</v>
      </c>
      <c r="D422" s="3" t="str">
        <f>"79211"</f>
        <v>79211</v>
      </c>
      <c r="E422" s="3" t="str">
        <f>"ED28D071"</f>
        <v>ED28D071</v>
      </c>
    </row>
    <row r="423" spans="1:5" x14ac:dyDescent="0.25">
      <c r="A423" s="3" t="str">
        <f>"298679"</f>
        <v>298679</v>
      </c>
      <c r="B423" s="4" t="str">
        <f>"81983772740"</f>
        <v>81983772740</v>
      </c>
      <c r="C423" t="str">
        <f>"EVERYDAY COUNTER-ANNIVERSARY 60TH PKG/6-10249"</f>
        <v>EVERYDAY COUNTER-ANNIVERSARY 60TH PKG/6-10249</v>
      </c>
      <c r="D423" s="3" t="str">
        <f>"10249"</f>
        <v>10249</v>
      </c>
      <c r="E423" s="3" t="str">
        <f>"ED28D072"</f>
        <v>ED28D072</v>
      </c>
    </row>
    <row r="424" spans="1:5" x14ac:dyDescent="0.25">
      <c r="A424" s="3" t="str">
        <f>"308235"</f>
        <v>308235</v>
      </c>
      <c r="B424" s="4" t="str">
        <f>"81983677557"</f>
        <v>81983677557</v>
      </c>
      <c r="C424" t="str">
        <f>"EVERYDAY COUNTER-WEDDING PKG/6-92018"</f>
        <v>EVERYDAY COUNTER-WEDDING PKG/6-92018</v>
      </c>
      <c r="D424" s="3" t="str">
        <f>"92018"</f>
        <v>92018</v>
      </c>
      <c r="E424" s="3" t="str">
        <f>"ED28D073"</f>
        <v>ED28D073</v>
      </c>
    </row>
    <row r="425" spans="1:5" x14ac:dyDescent="0.25">
      <c r="A425" s="3" t="str">
        <f>"279535"</f>
        <v>279535</v>
      </c>
      <c r="B425" s="4" t="str">
        <f>"81983738913"</f>
        <v>81983738913</v>
      </c>
      <c r="C425" t="str">
        <f>"EVERYDAY COUNTER-WEDDING PKG/6-J5558"</f>
        <v>EVERYDAY COUNTER-WEDDING PKG/6-J5558</v>
      </c>
      <c r="D425" s="3" t="str">
        <f>"J5558"</f>
        <v>J5558</v>
      </c>
      <c r="E425" s="3" t="str">
        <f>"ED28D074"</f>
        <v>ED28D074</v>
      </c>
    </row>
    <row r="426" spans="1:5" x14ac:dyDescent="0.25">
      <c r="A426" s="3" t="str">
        <f>"279548"</f>
        <v>279548</v>
      </c>
      <c r="B426" s="4" t="str">
        <f>"81983739019"</f>
        <v>81983739019</v>
      </c>
      <c r="C426" t="str">
        <f>"EVERYDAY COUNTER-WEDDING MOTHER OF THE BRIDE PKG/6-J5568"</f>
        <v>EVERYDAY COUNTER-WEDDING MOTHER OF THE BRIDE PKG/6-J5568</v>
      </c>
      <c r="D426" s="3" t="str">
        <f>"J5568"</f>
        <v>J5568</v>
      </c>
      <c r="E426" s="3" t="str">
        <f>"ED28D075"</f>
        <v>ED28D075</v>
      </c>
    </row>
    <row r="427" spans="1:5" x14ac:dyDescent="0.25">
      <c r="A427" s="3" t="str">
        <f>"279564"</f>
        <v>279564</v>
      </c>
      <c r="B427" s="4" t="str">
        <f>"81983772771"</f>
        <v>81983772771</v>
      </c>
      <c r="C427" t="str">
        <f>"EVERYDAY COUNTER-ANNIVERSARY PKG/6-J8166"</f>
        <v>EVERYDAY COUNTER-ANNIVERSARY PKG/6-J8166</v>
      </c>
      <c r="D427" s="3" t="str">
        <f>"J8166"</f>
        <v>J8166</v>
      </c>
      <c r="E427" s="3" t="str">
        <f>"ED28D076"</f>
        <v>ED28D076</v>
      </c>
    </row>
    <row r="428" spans="1:5" x14ac:dyDescent="0.25">
      <c r="A428" s="3" t="str">
        <f>"308132"</f>
        <v>308132</v>
      </c>
      <c r="B428" s="4" t="str">
        <f>"81983602993"</f>
        <v>81983602993</v>
      </c>
      <c r="C428" t="str">
        <f>"EVERYDAY COUNTER-ANNIVERSARY-DAUGHTER/HUSBAND PKG/6-79220"</f>
        <v>EVERYDAY COUNTER-ANNIVERSARY-DAUGHTER/HUSBAND PKG/6-79220</v>
      </c>
      <c r="D428" s="3" t="str">
        <f>"79220"</f>
        <v>79220</v>
      </c>
      <c r="E428" s="3" t="str">
        <f>"ED28D077"</f>
        <v>ED28D077</v>
      </c>
    </row>
    <row r="429" spans="1:5" x14ac:dyDescent="0.25">
      <c r="A429" s="3" t="str">
        <f>"308434"</f>
        <v>308434</v>
      </c>
      <c r="B429" s="4" t="str">
        <f>"81983721540"</f>
        <v>81983721540</v>
      </c>
      <c r="C429" t="str">
        <f>"EVERYDAY COUNTER-ANNIVERSARY/WARM CONGRATS ON YOUR 50TH PKG/6-J3406"</f>
        <v>EVERYDAY COUNTER-ANNIVERSARY/WARM CONGRATS ON YOUR 50TH PKG/6-J3406</v>
      </c>
      <c r="D429" s="3" t="str">
        <f>"J3406"</f>
        <v>J3406</v>
      </c>
      <c r="E429" s="3" t="str">
        <f>"ED28D078"</f>
        <v>ED28D078</v>
      </c>
    </row>
    <row r="430" spans="1:5" x14ac:dyDescent="0.25">
      <c r="A430" s="3" t="str">
        <f>"298672"</f>
        <v>298672</v>
      </c>
      <c r="B430" s="4" t="str">
        <f>"81983772733"</f>
        <v>81983772733</v>
      </c>
      <c r="C430" t="str">
        <f>"EVERYDAY COUNTER-ANNIVERSARY 50TH PKG/6-10236"</f>
        <v>EVERYDAY COUNTER-ANNIVERSARY 50TH PKG/6-10236</v>
      </c>
      <c r="D430" s="3" t="str">
        <f>"10236"</f>
        <v>10236</v>
      </c>
      <c r="E430" s="3" t="str">
        <f>"ED28D079"</f>
        <v>ED28D079</v>
      </c>
    </row>
    <row r="431" spans="1:5" x14ac:dyDescent="0.25">
      <c r="A431" s="3" t="str">
        <f>"308115"</f>
        <v>308115</v>
      </c>
      <c r="B431" s="4" t="str">
        <f>"81983584640"</f>
        <v>81983584640</v>
      </c>
      <c r="C431" t="str">
        <f>"EVERYDAY COUNTER-THANK YOU-78829"</f>
        <v>EVERYDAY COUNTER-THANK YOU-78829</v>
      </c>
      <c r="D431" s="3" t="str">
        <f>"78829"</f>
        <v>78829</v>
      </c>
      <c r="E431" s="3" t="str">
        <f>"ED28D080"</f>
        <v>ED28D080</v>
      </c>
    </row>
    <row r="432" spans="1:5" x14ac:dyDescent="0.25">
      <c r="A432" s="3" t="str">
        <f>"279651"</f>
        <v>279651</v>
      </c>
      <c r="B432" s="4" t="str">
        <f>"81983757884"</f>
        <v>81983757884</v>
      </c>
      <c r="C432" t="str">
        <f>"EVERYDAY COUNTER-WEDDING PKG/6-J8236"</f>
        <v>EVERYDAY COUNTER-WEDDING PKG/6-J8236</v>
      </c>
      <c r="D432" s="3" t="str">
        <f>"J8236"</f>
        <v>J8236</v>
      </c>
      <c r="E432" s="3" t="str">
        <f>"ED28D081"</f>
        <v>ED28D081</v>
      </c>
    </row>
    <row r="433" spans="1:5" x14ac:dyDescent="0.25">
      <c r="A433" s="3" t="str">
        <f>"279534"</f>
        <v>279534</v>
      </c>
      <c r="B433" s="4" t="str">
        <f>"81983738906"</f>
        <v>81983738906</v>
      </c>
      <c r="C433" t="str">
        <f>"EVERYDAY COUNTER-WEDDING PKG/6-J5557"</f>
        <v>EVERYDAY COUNTER-WEDDING PKG/6-J5557</v>
      </c>
      <c r="D433" s="3" t="str">
        <f>"J5557"</f>
        <v>J5557</v>
      </c>
      <c r="E433" s="3" t="str">
        <f>"ED28D082"</f>
        <v>ED28D082</v>
      </c>
    </row>
    <row r="434" spans="1:5" x14ac:dyDescent="0.25">
      <c r="A434" s="3" t="str">
        <f>"308126"</f>
        <v>308126</v>
      </c>
      <c r="B434" s="4" t="str">
        <f>"81983772382"</f>
        <v>81983772382</v>
      </c>
      <c r="C434" t="str">
        <f>"EVERYDAY COUNTER-WEDDING-PARENTS FOR ANYONE-J9950"</f>
        <v>EVERYDAY COUNTER-WEDDING-PARENTS FOR ANYONE-J9950</v>
      </c>
      <c r="D434" s="3" t="str">
        <f>"J9950"</f>
        <v>J9950</v>
      </c>
      <c r="E434" s="3" t="str">
        <f>"ED28D083"</f>
        <v>ED28D083</v>
      </c>
    </row>
    <row r="435" spans="1:5" x14ac:dyDescent="0.25">
      <c r="A435" s="3" t="str">
        <f>"308104"</f>
        <v>308104</v>
      </c>
      <c r="B435" s="4" t="str">
        <f>"81983771668"</f>
        <v>81983771668</v>
      </c>
      <c r="C435" t="str">
        <f>"EVERYDAY COUNTER-ON YOUR ANNIVERSARY-J9878"</f>
        <v>EVERYDAY COUNTER-ON YOUR ANNIVERSARY-J9878</v>
      </c>
      <c r="D435" s="3" t="str">
        <f>"J9878"</f>
        <v>J9878</v>
      </c>
      <c r="E435" s="3" t="str">
        <f>"ED28D084"</f>
        <v>ED28D084</v>
      </c>
    </row>
    <row r="436" spans="1:5" x14ac:dyDescent="0.25">
      <c r="A436" s="3" t="str">
        <f>"345233"</f>
        <v>345233</v>
      </c>
      <c r="B436" s="4" t="str">
        <f>"81983793578"</f>
        <v>81983793578</v>
      </c>
      <c r="C436" t="str">
        <f>"EVERYDAY COUNTER-ANNIVERSARY DAUGHTER/HUSBAND PKG/6"</f>
        <v>EVERYDAY COUNTER-ANNIVERSARY DAUGHTER/HUSBAND PKG/6</v>
      </c>
      <c r="D436" s="3" t="str">
        <f>"U2573"</f>
        <v>U2573</v>
      </c>
      <c r="E436" s="3" t="str">
        <f>"ED28D085"</f>
        <v>ED28D085</v>
      </c>
    </row>
    <row r="437" spans="1:5" x14ac:dyDescent="0.25">
      <c r="A437" s="3" t="str">
        <f>"298678"</f>
        <v>298678</v>
      </c>
      <c r="B437" s="4" t="str">
        <f>"81983772726"</f>
        <v>81983772726</v>
      </c>
      <c r="C437" t="str">
        <f>"EVERYDAY COUNTER-ANNIVERSARY 50TH PKG/6 -10248"</f>
        <v>EVERYDAY COUNTER-ANNIVERSARY 50TH PKG/6 -10248</v>
      </c>
      <c r="D437" s="3" t="str">
        <f>"10248"</f>
        <v>10248</v>
      </c>
      <c r="E437" s="3" t="str">
        <f>"ED28D086"</f>
        <v>ED28D086</v>
      </c>
    </row>
    <row r="438" spans="1:5" x14ac:dyDescent="0.25">
      <c r="A438" s="3" t="str">
        <f>"308129"</f>
        <v>308129</v>
      </c>
      <c r="B438" s="4" t="str">
        <f>"81983602887"</f>
        <v>81983602887</v>
      </c>
      <c r="C438" t="str">
        <f>"EVERYDAY COUNTER-50TH ANNIVERSARY/GOLD LETTERS PKG/6-79209"</f>
        <v>EVERYDAY COUNTER-50TH ANNIVERSARY/GOLD LETTERS PKG/6-79209</v>
      </c>
      <c r="D438" s="3" t="str">
        <f>"79209"</f>
        <v>79209</v>
      </c>
      <c r="E438" s="3" t="str">
        <f>"ED28D087"</f>
        <v>ED28D087</v>
      </c>
    </row>
    <row r="439" spans="1:5" x14ac:dyDescent="0.25">
      <c r="A439" s="3" t="str">
        <f>"279641"</f>
        <v>279641</v>
      </c>
      <c r="B439" s="4" t="str">
        <f>"81983757815"</f>
        <v>81983757815</v>
      </c>
      <c r="C439" t="str">
        <f>"EVERYDAY COUNTER-THANK YOU PKG/6-J8229"</f>
        <v>EVERYDAY COUNTER-THANK YOU PKG/6-J8229</v>
      </c>
      <c r="D439" s="3" t="str">
        <f>"J8229"</f>
        <v>J8229</v>
      </c>
      <c r="E439" s="3" t="str">
        <f>"ED28D088"</f>
        <v>ED28D088</v>
      </c>
    </row>
    <row r="440" spans="1:5" x14ac:dyDescent="0.25">
      <c r="A440" s="3" t="str">
        <f>"308234"</f>
        <v>308234</v>
      </c>
      <c r="B440" s="4" t="str">
        <f>"81983774836"</f>
        <v>81983774836</v>
      </c>
      <c r="C440" t="str">
        <f>"EVERYDAY COUNTER-WEDDING PKG/6-92015"</f>
        <v>EVERYDAY COUNTER-WEDDING PKG/6-92015</v>
      </c>
      <c r="D440" s="3" t="str">
        <f>"92015"</f>
        <v>92015</v>
      </c>
      <c r="E440" s="3" t="str">
        <f>"ED28D089"</f>
        <v>ED28D089</v>
      </c>
    </row>
    <row r="441" spans="1:5" x14ac:dyDescent="0.25">
      <c r="A441" s="3" t="str">
        <f>"308241"</f>
        <v>308241</v>
      </c>
      <c r="B441" s="4" t="str">
        <f>"81983677625"</f>
        <v>81983677625</v>
      </c>
      <c r="C441" t="str">
        <f>"EVERYDAY COUNTER-WEDDING PKG/6-92035"</f>
        <v>EVERYDAY COUNTER-WEDDING PKG/6-92035</v>
      </c>
      <c r="D441" s="3" t="str">
        <f>"92035"</f>
        <v>92035</v>
      </c>
      <c r="E441" s="3" t="str">
        <f>"ED28D090"</f>
        <v>ED28D090</v>
      </c>
    </row>
    <row r="442" spans="1:5" x14ac:dyDescent="0.25">
      <c r="A442" s="3" t="str">
        <f>"298705"</f>
        <v>298705</v>
      </c>
      <c r="B442" s="4" t="str">
        <f>"81983772801"</f>
        <v>81983772801</v>
      </c>
      <c r="C442" t="str">
        <f>"EVERYDAY COUNTER-ANNIVERSARY PKG/6-10284"</f>
        <v>EVERYDAY COUNTER-ANNIVERSARY PKG/6-10284</v>
      </c>
      <c r="D442" s="3" t="str">
        <f>"10284"</f>
        <v>10284</v>
      </c>
      <c r="E442" s="3" t="str">
        <f>"ED28D091"</f>
        <v>ED28D091</v>
      </c>
    </row>
    <row r="443" spans="1:5" x14ac:dyDescent="0.25">
      <c r="A443" s="3" t="str">
        <f>"308139"</f>
        <v>308139</v>
      </c>
      <c r="B443" s="4" t="str">
        <f>"81983582837"</f>
        <v>81983582837</v>
      </c>
      <c r="C443" t="str">
        <f>"EVERYDAY COUNTER-ANNIVERSARY/BLESSINGS OF LOVE PKG/6-81735"</f>
        <v>EVERYDAY COUNTER-ANNIVERSARY/BLESSINGS OF LOVE PKG/6-81735</v>
      </c>
      <c r="D443" s="3" t="str">
        <f>"81735"</f>
        <v>81735</v>
      </c>
      <c r="E443" s="3" t="str">
        <f>"ED28D092"</f>
        <v>ED28D092</v>
      </c>
    </row>
    <row r="444" spans="1:5" x14ac:dyDescent="0.25">
      <c r="A444" s="3" t="str">
        <f>"308133"</f>
        <v>308133</v>
      </c>
      <c r="B444" s="4" t="str">
        <f>"81983603518"</f>
        <v>81983603518</v>
      </c>
      <c r="C444" t="str">
        <f>"EVERYDAY COUNTER-ANNIVERSARY-SON/WIFE PKG/6-79222"</f>
        <v>EVERYDAY COUNTER-ANNIVERSARY-SON/WIFE PKG/6-79222</v>
      </c>
      <c r="D444" s="3" t="str">
        <f>"79222"</f>
        <v>79222</v>
      </c>
      <c r="E444" s="3" t="str">
        <f>"ED28D093"</f>
        <v>ED28D093</v>
      </c>
    </row>
    <row r="445" spans="1:5" x14ac:dyDescent="0.25">
      <c r="A445" s="3" t="str">
        <f>"308196"</f>
        <v>308196</v>
      </c>
      <c r="B445" s="4" t="str">
        <f>"81983677076"</f>
        <v>81983677076</v>
      </c>
      <c r="C445" t="str">
        <f>"EVERYDAY COUNTER-ANNIVERSARY-30TH PKG/6-91971"</f>
        <v>EVERYDAY COUNTER-ANNIVERSARY-30TH PKG/6-91971</v>
      </c>
      <c r="D445" s="3" t="str">
        <f>"91971"</f>
        <v>91971</v>
      </c>
      <c r="E445" s="3" t="str">
        <f>"ED28D094"</f>
        <v>ED28D094</v>
      </c>
    </row>
    <row r="446" spans="1:5" x14ac:dyDescent="0.25">
      <c r="A446" s="3" t="str">
        <f>"308127"</f>
        <v>308127</v>
      </c>
      <c r="B446" s="4" t="str">
        <f>"81983771651"</f>
        <v>81983771651</v>
      </c>
      <c r="C446" t="str">
        <f>"EVERYDAY COUNTER-40TH ANNIVERSARY/HONORING YOU PKG/6-J9877"</f>
        <v>EVERYDAY COUNTER-40TH ANNIVERSARY/HONORING YOU PKG/6-J9877</v>
      </c>
      <c r="D446" s="3" t="str">
        <f>"J9877"</f>
        <v>J9877</v>
      </c>
      <c r="E446" s="3" t="str">
        <f>"ED28D095"</f>
        <v>ED28D095</v>
      </c>
    </row>
    <row r="447" spans="1:5" x14ac:dyDescent="0.25">
      <c r="A447" s="3" t="str">
        <f>"308472"</f>
        <v>308472</v>
      </c>
      <c r="B447" s="4" t="str">
        <f>"81983722035"</f>
        <v>81983722035</v>
      </c>
      <c r="C447" t="str">
        <f>"EVERYDAY COUNTER-THANK YOU/THE THOUGHTFUL ACT OF GIVING PKG/6-J3455"</f>
        <v>EVERYDAY COUNTER-THANK YOU/THE THOUGHTFUL ACT OF GIVING PKG/6-J3455</v>
      </c>
      <c r="D447" s="3" t="str">
        <f>"J3455"</f>
        <v>J3455</v>
      </c>
      <c r="E447" s="3" t="str">
        <f>"ED28D096"</f>
        <v>ED28D096</v>
      </c>
    </row>
    <row r="448" spans="1:5" x14ac:dyDescent="0.25">
      <c r="A448" s="3" t="str">
        <f>"279646"</f>
        <v>279646</v>
      </c>
      <c r="B448" s="4" t="str">
        <f>"81983774720"</f>
        <v>81983774720</v>
      </c>
      <c r="C448" t="str">
        <f>"EVERYDAY COUNTER-WEDDING - SHOWER PKG/6-J8233"</f>
        <v>EVERYDAY COUNTER-WEDDING - SHOWER PKG/6-J8233</v>
      </c>
      <c r="D448" s="3" t="str">
        <f>"J8233"</f>
        <v>J8233</v>
      </c>
      <c r="E448" s="3" t="str">
        <f>"ED28D097"</f>
        <v>ED28D097</v>
      </c>
    </row>
    <row r="449" spans="1:5" x14ac:dyDescent="0.25">
      <c r="A449" s="3" t="str">
        <f>"308479"</f>
        <v>308479</v>
      </c>
      <c r="B449" s="4" t="str">
        <f>"81983722172"</f>
        <v>81983722172</v>
      </c>
      <c r="C449" t="str">
        <f>"EVERYDAY COUNTER-WEDDING - BRIDAL SHOWER/A DREAM FULFILLED PKG/6-J3469"</f>
        <v>EVERYDAY COUNTER-WEDDING - BRIDAL SHOWER/A DREAM FULFILLED PKG/6-J3469</v>
      </c>
      <c r="D449" s="3" t="str">
        <f>"J3469"</f>
        <v>J3469</v>
      </c>
      <c r="E449" s="3" t="str">
        <f>"ED28D098"</f>
        <v>ED28D098</v>
      </c>
    </row>
    <row r="450" spans="1:5" x14ac:dyDescent="0.25">
      <c r="A450" s="3" t="str">
        <f>"298708"</f>
        <v>298708</v>
      </c>
      <c r="B450" s="4" t="str">
        <f>"81983652509"</f>
        <v>81983652509</v>
      </c>
      <c r="C450" t="str">
        <f>"EVERYDAY COUNTER-ANNIVERSARY COUPLE PKG/6-10288"</f>
        <v>EVERYDAY COUNTER-ANNIVERSARY COUPLE PKG/6-10288</v>
      </c>
      <c r="D450" s="3" t="str">
        <f>"10288"</f>
        <v>10288</v>
      </c>
      <c r="E450" s="3" t="str">
        <f>"ED28D099"</f>
        <v>ED28D099</v>
      </c>
    </row>
    <row r="451" spans="1:5" x14ac:dyDescent="0.25">
      <c r="A451" s="3" t="str">
        <f>"308103"</f>
        <v>308103</v>
      </c>
      <c r="B451" s="4" t="str">
        <f>"81983771675"</f>
        <v>81983771675</v>
      </c>
      <c r="C451" t="str">
        <f>"EVERYDAY COUNTER-ANNIVERSARY PKG/6-J9879"</f>
        <v>EVERYDAY COUNTER-ANNIVERSARY PKG/6-J9879</v>
      </c>
      <c r="D451" s="3" t="str">
        <f>"J9879"</f>
        <v>J9879</v>
      </c>
      <c r="E451" s="3" t="str">
        <f>"ED28D100"</f>
        <v>ED28D100</v>
      </c>
    </row>
    <row r="452" spans="1:5" x14ac:dyDescent="0.25">
      <c r="A452" s="3" t="str">
        <f>"279567"</f>
        <v>279567</v>
      </c>
      <c r="B452" s="4" t="str">
        <f>"81983757211"</f>
        <v>81983757211</v>
      </c>
      <c r="C452" t="str">
        <f>"EVERYDAY COUNTER-ANNIVERARY - SON &amp; WIFE PKG/6-J8169"</f>
        <v>EVERYDAY COUNTER-ANNIVERARY - SON &amp; WIFE PKG/6-J8169</v>
      </c>
      <c r="D452" s="3" t="str">
        <f>"J8169"</f>
        <v>J8169</v>
      </c>
      <c r="E452" s="3" t="str">
        <f>"ED28D101"</f>
        <v>ED28D101</v>
      </c>
    </row>
    <row r="453" spans="1:5" x14ac:dyDescent="0.25">
      <c r="A453" s="3" t="str">
        <f>"308194"</f>
        <v>308194</v>
      </c>
      <c r="B453" s="4" t="str">
        <f>"81983677045"</f>
        <v>81983677045</v>
      </c>
      <c r="C453" t="str">
        <f>"EVERYDAY COUNTER-ANNIVERSARY-25TH PKG/6-91969"</f>
        <v>EVERYDAY COUNTER-ANNIVERSARY-25TH PKG/6-91969</v>
      </c>
      <c r="D453" s="3" t="str">
        <f>"91969"</f>
        <v>91969</v>
      </c>
      <c r="E453" s="3" t="str">
        <f>"ED28D102"</f>
        <v>ED28D102</v>
      </c>
    </row>
    <row r="454" spans="1:5" x14ac:dyDescent="0.25">
      <c r="A454" s="3" t="str">
        <f>"308195"</f>
        <v>308195</v>
      </c>
      <c r="B454" s="4" t="str">
        <f>"81983772719"</f>
        <v>81983772719</v>
      </c>
      <c r="C454" t="str">
        <f>"EVERYDAY COUNTER-ANNIVERSARY-25TH PKG/6-91970"</f>
        <v>EVERYDAY COUNTER-ANNIVERSARY-25TH PKG/6-91970</v>
      </c>
      <c r="D454" s="3" t="str">
        <f>"91970"</f>
        <v>91970</v>
      </c>
      <c r="E454" s="3" t="str">
        <f>"ED28D103"</f>
        <v>ED28D103</v>
      </c>
    </row>
    <row r="455" spans="1:5" x14ac:dyDescent="0.25">
      <c r="A455" s="3" t="str">
        <f>"308151"</f>
        <v>308151</v>
      </c>
      <c r="B455" s="4" t="str">
        <f>"81983573293"</f>
        <v>81983573293</v>
      </c>
      <c r="C455" t="str">
        <f>"EVERYDAY COUNTER-THANK YOU - FOR ANYONE-83828"</f>
        <v>EVERYDAY COUNTER-THANK YOU - FOR ANYONE-83828</v>
      </c>
      <c r="D455" s="3" t="str">
        <f>"83828"</f>
        <v>83828</v>
      </c>
      <c r="E455" s="3" t="str">
        <f>"ED28D104"</f>
        <v>ED28D104</v>
      </c>
    </row>
    <row r="456" spans="1:5" x14ac:dyDescent="0.25">
      <c r="A456" s="3" t="str">
        <f>"308480"</f>
        <v>308480</v>
      </c>
      <c r="B456" s="4" t="str">
        <f>"81983722189"</f>
        <v>81983722189</v>
      </c>
      <c r="C456" t="str">
        <f>"EVERYDAY COUNTER-WEDDING - BRIDAL SHOWER/LIFE-CHANGING YES PKG/6-J3470"</f>
        <v>EVERYDAY COUNTER-WEDDING - BRIDAL SHOWER/LIFE-CHANGING YES PKG/6-J3470</v>
      </c>
      <c r="D456" s="3" t="str">
        <f>"J3470"</f>
        <v>J3470</v>
      </c>
      <c r="E456" s="3" t="str">
        <f>"ED28D105"</f>
        <v>ED28D105</v>
      </c>
    </row>
    <row r="457" spans="1:5" x14ac:dyDescent="0.25">
      <c r="A457" s="3" t="str">
        <f>"308125"</f>
        <v>308125</v>
      </c>
      <c r="B457" s="4" t="str">
        <f>"81983603310"</f>
        <v>81983603310</v>
      </c>
      <c r="C457" t="str">
        <f>"EVERYDAY COUNTER-BRIDAL SHOWER/CELEBRATION-78879"</f>
        <v>EVERYDAY COUNTER-BRIDAL SHOWER/CELEBRATION-78879</v>
      </c>
      <c r="D457" s="3" t="str">
        <f>"78879"</f>
        <v>78879</v>
      </c>
      <c r="E457" s="3" t="str">
        <f>"ED28D106"</f>
        <v>ED28D106</v>
      </c>
    </row>
    <row r="458" spans="1:5" x14ac:dyDescent="0.25">
      <c r="A458" s="3" t="str">
        <f>"279561"</f>
        <v>279561</v>
      </c>
      <c r="B458" s="4" t="str">
        <f>"81983772764"</f>
        <v>81983772764</v>
      </c>
      <c r="C458" t="str">
        <f>"EVERYDAY COUNTER-ANNIVERSARY PKG/6-J8164"</f>
        <v>EVERYDAY COUNTER-ANNIVERSARY PKG/6-J8164</v>
      </c>
      <c r="D458" s="3" t="str">
        <f>"J8164"</f>
        <v>J8164</v>
      </c>
      <c r="E458" s="3" t="str">
        <f>"ED28D107"</f>
        <v>ED28D107</v>
      </c>
    </row>
    <row r="459" spans="1:5" x14ac:dyDescent="0.25">
      <c r="A459" s="3" t="str">
        <f>"298680"</f>
        <v>298680</v>
      </c>
      <c r="B459" s="4" t="str">
        <f>"81983652011"</f>
        <v>81983652011</v>
      </c>
      <c r="C459" t="str">
        <f>"EVERYDAY COUNTER-ANN FOR ANYONE PKG/6-10250"</f>
        <v>EVERYDAY COUNTER-ANN FOR ANYONE PKG/6-10250</v>
      </c>
      <c r="D459" s="3" t="str">
        <f>"10250"</f>
        <v>10250</v>
      </c>
      <c r="E459" s="3" t="str">
        <f>"ED28D108"</f>
        <v>ED28D108</v>
      </c>
    </row>
    <row r="460" spans="1:5" x14ac:dyDescent="0.25">
      <c r="A460" s="3" t="str">
        <f>"298704"</f>
        <v>298704</v>
      </c>
      <c r="B460" s="4" t="str">
        <f>"81983652455"</f>
        <v>81983652455</v>
      </c>
      <c r="C460" t="str">
        <f>"EVERYDAY COUNTER-ANNIVERSARY PKG/6-10283"</f>
        <v>EVERYDAY COUNTER-ANNIVERSARY PKG/6-10283</v>
      </c>
      <c r="D460" s="3" t="str">
        <f>"10283"</f>
        <v>10283</v>
      </c>
      <c r="E460" s="3" t="str">
        <f>"ED28D109"</f>
        <v>ED28D109</v>
      </c>
    </row>
    <row r="461" spans="1:5" x14ac:dyDescent="0.25">
      <c r="A461" s="3" t="str">
        <f>"308191"</f>
        <v>308191</v>
      </c>
      <c r="B461" s="4" t="str">
        <f>"81983772696"</f>
        <v>81983772696</v>
      </c>
      <c r="C461" t="str">
        <f>"EVERYDAY COUNTER-ANNIVERSARY-1ST PKG/6-91967"</f>
        <v>EVERYDAY COUNTER-ANNIVERSARY-1ST PKG/6-91967</v>
      </c>
      <c r="D461" s="3" t="str">
        <f>"91967"</f>
        <v>91967</v>
      </c>
      <c r="E461" s="3" t="str">
        <f>"ED28D110"</f>
        <v>ED28D110</v>
      </c>
    </row>
    <row r="462" spans="1:5" x14ac:dyDescent="0.25">
      <c r="A462" s="3" t="str">
        <f>"308190"</f>
        <v>308190</v>
      </c>
      <c r="B462" s="4" t="str">
        <f>"81983676994"</f>
        <v>81983676994</v>
      </c>
      <c r="C462" t="str">
        <f>"EVERYDAY COUNTER-ANNIVERSARY-10TH PKG/6-91966"</f>
        <v>EVERYDAY COUNTER-ANNIVERSARY-10TH PKG/6-91966</v>
      </c>
      <c r="D462" s="3" t="str">
        <f>"91966"</f>
        <v>91966</v>
      </c>
      <c r="E462" s="3" t="str">
        <f>"ED28D111"</f>
        <v>ED28D111</v>
      </c>
    </row>
    <row r="463" spans="1:5" x14ac:dyDescent="0.25">
      <c r="A463" s="3" t="str">
        <f>"308192"</f>
        <v>308192</v>
      </c>
      <c r="B463" s="4" t="str">
        <f>"81983677021"</f>
        <v>81983677021</v>
      </c>
      <c r="C463" t="str">
        <f>"EVERYDAY COUNTER-ANNIVERSARY-20TH PKG/6-91968"</f>
        <v>EVERYDAY COUNTER-ANNIVERSARY-20TH PKG/6-91968</v>
      </c>
      <c r="D463" s="3" t="str">
        <f>"91968"</f>
        <v>91968</v>
      </c>
      <c r="E463" s="3" t="str">
        <f>"ED28D112"</f>
        <v>ED28D112</v>
      </c>
    </row>
    <row r="464" spans="1:5" x14ac:dyDescent="0.25">
      <c r="A464" s="3" t="str">
        <f>"308266"</f>
        <v>308266</v>
      </c>
      <c r="B464" s="4" t="str">
        <f>"81983612442"</f>
        <v>81983612442</v>
      </c>
      <c r="C464" t="str">
        <f>"EVERYDAY COUNTER-THANK YOU-FOR ANYONE-44123"</f>
        <v>EVERYDAY COUNTER-THANK YOU-FOR ANYONE-44123</v>
      </c>
      <c r="D464" s="3" t="str">
        <f>"44123"</f>
        <v>44123</v>
      </c>
      <c r="E464" s="3" t="str">
        <f>"ED28D113"</f>
        <v>ED28D113</v>
      </c>
    </row>
    <row r="465" spans="1:5" x14ac:dyDescent="0.25">
      <c r="A465" s="3" t="str">
        <f>"308150"</f>
        <v>308150</v>
      </c>
      <c r="B465" s="4" t="str">
        <f>"81983573286"</f>
        <v>81983573286</v>
      </c>
      <c r="C465" t="str">
        <f>"EVERYDAY COUNTER-THANK YOU - FOR ANYONE-83827"</f>
        <v>EVERYDAY COUNTER-THANK YOU - FOR ANYONE-83827</v>
      </c>
      <c r="D465" s="3" t="str">
        <f>"83827"</f>
        <v>83827</v>
      </c>
      <c r="E465" s="3" t="str">
        <f>"ED28E001"</f>
        <v>ED28E001</v>
      </c>
    </row>
    <row r="466" spans="1:5" x14ac:dyDescent="0.25">
      <c r="A466" s="3" t="str">
        <f>"298702"</f>
        <v>298702</v>
      </c>
      <c r="B466" s="4" t="str">
        <f>"81983652417"</f>
        <v>81983652417</v>
      </c>
      <c r="C466" t="str">
        <f>"EVERYDAY COUNTER-THANK YOU CLERGY PKG/6-10280"</f>
        <v>EVERYDAY COUNTER-THANK YOU CLERGY PKG/6-10280</v>
      </c>
      <c r="D466" s="3" t="str">
        <f>"10280"</f>
        <v>10280</v>
      </c>
      <c r="E466" s="3" t="str">
        <f>"ED28E002"</f>
        <v>ED28E002</v>
      </c>
    </row>
    <row r="467" spans="1:5" x14ac:dyDescent="0.25">
      <c r="A467" s="3" t="str">
        <f>"279644"</f>
        <v>279644</v>
      </c>
      <c r="B467" s="4" t="str">
        <f>"81983757839"</f>
        <v>81983757839</v>
      </c>
      <c r="C467" t="str">
        <f>"EVERYDAY COUNTER-THANK YOU MINISTRY APPRECIATIO PKG/6-J8231"</f>
        <v>EVERYDAY COUNTER-THANK YOU MINISTRY APPRECIATIO PKG/6-J8231</v>
      </c>
      <c r="D467" s="3" t="str">
        <f>"J8231"</f>
        <v>J8231</v>
      </c>
      <c r="E467" s="3" t="str">
        <f>"ED28E003"</f>
        <v>ED28E003</v>
      </c>
    </row>
    <row r="468" spans="1:5" x14ac:dyDescent="0.25">
      <c r="A468" s="3" t="str">
        <f>"374842"</f>
        <v>374842</v>
      </c>
      <c r="B468" s="4" t="str">
        <f>"081983789069"</f>
        <v>081983789069</v>
      </c>
      <c r="C468" t="str">
        <f>"EVERYDAY COUNTER-CONGRATULATIONS-PREMIUM PKG/2"</f>
        <v>EVERYDAY COUNTER-CONGRATULATIONS-PREMIUM PKG/2</v>
      </c>
      <c r="D468" s="3" t="str">
        <f>"U1992"</f>
        <v>U1992</v>
      </c>
      <c r="E468" s="3" t="str">
        <f>"ED28E004"</f>
        <v>ED28E004</v>
      </c>
    </row>
    <row r="469" spans="1:5" x14ac:dyDescent="0.25">
      <c r="A469" s="3" t="str">
        <f>"345230"</f>
        <v>345230</v>
      </c>
      <c r="B469" s="4" t="str">
        <f>"81983789052"</f>
        <v>81983789052</v>
      </c>
      <c r="C469" t="str">
        <f>"EVERYDAY COUNTER-CONGRATULATIONS-PREMIUM PKG/2"</f>
        <v>EVERYDAY COUNTER-CONGRATULATIONS-PREMIUM PKG/2</v>
      </c>
      <c r="D469" s="3" t="str">
        <f>"U1991"</f>
        <v>U1991</v>
      </c>
      <c r="E469" s="3" t="str">
        <f>"ED28E005"</f>
        <v>ED28E005</v>
      </c>
    </row>
    <row r="470" spans="1:5" x14ac:dyDescent="0.25">
      <c r="A470" s="3" t="str">
        <f>"298768"</f>
        <v>298768</v>
      </c>
      <c r="B470" s="4" t="str">
        <f>"81983593963"</f>
        <v>81983593963</v>
      </c>
      <c r="C470" t="str">
        <f>"EVERYDAY COUNTER-CONGRATS-FOR ANYONE-11800"</f>
        <v>EVERYDAY COUNTER-CONGRATS-FOR ANYONE-11800</v>
      </c>
      <c r="D470" s="3" t="str">
        <f>"11800"</f>
        <v>11800</v>
      </c>
      <c r="E470" s="3" t="str">
        <f>"ED28E006"</f>
        <v>ED28E006</v>
      </c>
    </row>
    <row r="471" spans="1:5" x14ac:dyDescent="0.25">
      <c r="A471" s="3" t="str">
        <f>"298723"</f>
        <v>298723</v>
      </c>
      <c r="B471" s="4" t="str">
        <f>"81983592874"</f>
        <v>81983592874</v>
      </c>
      <c r="C471" t="str">
        <f>"EVERYDAY COUNTER-SPIRIT OCC-WIM-11517"</f>
        <v>EVERYDAY COUNTER-SPIRIT OCC-WIM-11517</v>
      </c>
      <c r="D471" s="3" t="str">
        <f>"11517"</f>
        <v>11517</v>
      </c>
      <c r="E471" s="3" t="str">
        <f>"ED28E007"</f>
        <v>ED28E007</v>
      </c>
    </row>
    <row r="472" spans="1:5" x14ac:dyDescent="0.25">
      <c r="A472" s="3" t="str">
        <f>"298700"</f>
        <v>298700</v>
      </c>
      <c r="B472" s="4" t="str">
        <f>"81983652356"</f>
        <v>81983652356</v>
      </c>
      <c r="C472" t="str">
        <f>"EVERYDAY COUNTER-BAPTISM ADULT PKG/6-10278"</f>
        <v>EVERYDAY COUNTER-BAPTISM ADULT PKG/6-10278</v>
      </c>
      <c r="D472" s="3" t="str">
        <f>"10278"</f>
        <v>10278</v>
      </c>
      <c r="E472" s="3" t="str">
        <f>"ED28E008"</f>
        <v>ED28E008</v>
      </c>
    </row>
    <row r="473" spans="1:5" x14ac:dyDescent="0.25">
      <c r="A473" s="3" t="str">
        <f>"401611"</f>
        <v>401611</v>
      </c>
      <c r="B473" s="4" t="str">
        <f>"81983678677"</f>
        <v>81983678677</v>
      </c>
      <c r="C473" t="str">
        <f>"EVERYDAY COUNTER-THANK YOU-82376"</f>
        <v>EVERYDAY COUNTER-THANK YOU-82376</v>
      </c>
      <c r="D473" s="3" t="str">
        <f>"82376"</f>
        <v>82376</v>
      </c>
      <c r="E473" s="3" t="str">
        <f>"ED28E009"</f>
        <v>ED28E009</v>
      </c>
    </row>
    <row r="474" spans="1:5" x14ac:dyDescent="0.25">
      <c r="A474" s="3" t="str">
        <f>"279635"</f>
        <v>279635</v>
      </c>
      <c r="B474" s="4" t="str">
        <f>"81983757761"</f>
        <v>81983757761</v>
      </c>
      <c r="C474" t="str">
        <f>"EVERYDAY COUNTER-THANK YOU CLERGY PKG/6-J8224"</f>
        <v>EVERYDAY COUNTER-THANK YOU CLERGY PKG/6-J8224</v>
      </c>
      <c r="D474" s="3" t="str">
        <f>"J8224"</f>
        <v>J8224</v>
      </c>
      <c r="E474" s="3" t="str">
        <f>"ED28E010"</f>
        <v>ED28E010</v>
      </c>
    </row>
    <row r="475" spans="1:5" x14ac:dyDescent="0.25">
      <c r="A475" s="3" t="str">
        <f>"308478"</f>
        <v>308478</v>
      </c>
      <c r="B475" s="4" t="str">
        <f>"81983722165"</f>
        <v>81983722165</v>
      </c>
      <c r="C475" t="str">
        <f>"EVERYDAY COUNTER-MINISTRY APPRECIATION/OPEN HANDS PKG/6-J3468"</f>
        <v>EVERYDAY COUNTER-MINISTRY APPRECIATION/OPEN HANDS PKG/6-J3468</v>
      </c>
      <c r="D475" s="3" t="str">
        <f>"J3468"</f>
        <v>J3468</v>
      </c>
      <c r="E475" s="3" t="str">
        <f>"ED28E011"</f>
        <v>ED28E011</v>
      </c>
    </row>
    <row r="476" spans="1:5" x14ac:dyDescent="0.25">
      <c r="A476" s="3" t="str">
        <f>"345228"</f>
        <v>345228</v>
      </c>
      <c r="B476" s="4" t="str">
        <f>"81983789045"</f>
        <v>81983789045</v>
      </c>
      <c r="C476" t="str">
        <f>"EVERYDAY COUNTER-CONGRATULATIONS-PREMIUM PKG/2"</f>
        <v>EVERYDAY COUNTER-CONGRATULATIONS-PREMIUM PKG/2</v>
      </c>
      <c r="D476" s="3" t="str">
        <f>"U1990"</f>
        <v>U1990</v>
      </c>
      <c r="E476" s="3" t="str">
        <f>"ED28E012"</f>
        <v>ED28E012</v>
      </c>
    </row>
    <row r="477" spans="1:5" x14ac:dyDescent="0.25">
      <c r="A477" s="3" t="str">
        <f>"345271"</f>
        <v>345271</v>
      </c>
      <c r="B477" s="4" t="str">
        <f>"81983794582"</f>
        <v>81983794582</v>
      </c>
      <c r="C477" t="str">
        <f>"EVERYDAY COUNTER-CONGRATULATIONS/BABY SHOWER PKG/6"</f>
        <v>EVERYDAY COUNTER-CONGRATULATIONS/BABY SHOWER PKG/6</v>
      </c>
      <c r="D477" s="3" t="str">
        <f>"U2677"</f>
        <v>U2677</v>
      </c>
      <c r="E477" s="3" t="str">
        <f>"ED28E013"</f>
        <v>ED28E013</v>
      </c>
    </row>
    <row r="478" spans="1:5" x14ac:dyDescent="0.25">
      <c r="A478" s="3" t="str">
        <f>"345238"</f>
        <v>345238</v>
      </c>
      <c r="B478" s="4" t="str">
        <f>"81983793615"</f>
        <v>81983793615</v>
      </c>
      <c r="C478" t="str">
        <f>"EVERYDAY COUNTER-CONGRATULATIONS PKG/6-U2577"</f>
        <v>EVERYDAY COUNTER-CONGRATULATIONS PKG/6-U2577</v>
      </c>
      <c r="D478" s="3" t="str">
        <f>"U2577"</f>
        <v>U2577</v>
      </c>
      <c r="E478" s="3" t="str">
        <f>"ED28E014"</f>
        <v>ED28E014</v>
      </c>
    </row>
    <row r="479" spans="1:5" x14ac:dyDescent="0.25">
      <c r="A479" s="3" t="str">
        <f>"279615"</f>
        <v>279615</v>
      </c>
      <c r="B479" s="4" t="str">
        <f>"81983757600"</f>
        <v>81983757600</v>
      </c>
      <c r="C479" t="str">
        <f>"EVERYDAY COUNTER-SPIRITUAL OCC WOMEN IN MINISTR PKG/6-J8208"</f>
        <v>EVERYDAY COUNTER-SPIRITUAL OCC WOMEN IN MINISTR PKG/6-J8208</v>
      </c>
      <c r="D479" s="3" t="str">
        <f>"J8208"</f>
        <v>J8208</v>
      </c>
      <c r="E479" s="3" t="str">
        <f>"ED28E015"</f>
        <v>ED28E015</v>
      </c>
    </row>
    <row r="480" spans="1:5" x14ac:dyDescent="0.25">
      <c r="A480" s="3" t="str">
        <f>"308042"</f>
        <v>308042</v>
      </c>
      <c r="B480" s="4" t="str">
        <f>"81983643071"</f>
        <v>81983643071</v>
      </c>
      <c r="C480" t="str">
        <f>"EVERYDAY COUNTER-ADULT BAPTISM PKG/6-72715"</f>
        <v>EVERYDAY COUNTER-ADULT BAPTISM PKG/6-72715</v>
      </c>
      <c r="D480" s="3" t="str">
        <f>"72715"</f>
        <v>72715</v>
      </c>
      <c r="E480" s="3" t="str">
        <f>"ED28E016"</f>
        <v>ED28E016</v>
      </c>
    </row>
    <row r="481" spans="1:5" x14ac:dyDescent="0.25">
      <c r="A481" s="3" t="str">
        <f>"308470"</f>
        <v>308470</v>
      </c>
      <c r="B481" s="4" t="str">
        <f>"81983722011"</f>
        <v>81983722011</v>
      </c>
      <c r="C481" t="str">
        <f>"EVERYDAY COUNTER-THANK YOU/YOU'VE GOT A REAL GIFT PKG/6-J3453"</f>
        <v>EVERYDAY COUNTER-THANK YOU/YOU'VE GOT A REAL GIFT PKG/6-J3453</v>
      </c>
      <c r="D481" s="3" t="str">
        <f>"J3453"</f>
        <v>J3453</v>
      </c>
      <c r="E481" s="3" t="str">
        <f>"ED28E017"</f>
        <v>ED28E017</v>
      </c>
    </row>
    <row r="482" spans="1:5" x14ac:dyDescent="0.25">
      <c r="A482" s="3" t="str">
        <f>"308475"</f>
        <v>308475</v>
      </c>
      <c r="B482" s="4" t="str">
        <f>"81983722141"</f>
        <v>81983722141</v>
      </c>
      <c r="C482" t="str">
        <f>"EVERYDAY COUNTER-THANK YOU -PASTOR/YOU'RE AN INSPIRATION PKG/6-J3466"</f>
        <v>EVERYDAY COUNTER-THANK YOU -PASTOR/YOU'RE AN INSPIRATION PKG/6-J3466</v>
      </c>
      <c r="D482" s="3" t="str">
        <f>"J3466"</f>
        <v>J3466</v>
      </c>
      <c r="E482" s="3" t="str">
        <f>"ED28E018"</f>
        <v>ED28E018</v>
      </c>
    </row>
    <row r="483" spans="1:5" x14ac:dyDescent="0.25">
      <c r="A483" s="3" t="str">
        <f>"308477"</f>
        <v>308477</v>
      </c>
      <c r="B483" s="4" t="str">
        <f>"81983722158"</f>
        <v>81983722158</v>
      </c>
      <c r="C483" t="str">
        <f>"EVERYDAY COUNTER-MINISTRY APPRECIATION/WITH APPRECIATION FOR YOUR MINISTRY PKG/6-J3467"</f>
        <v>EVERYDAY COUNTER-MINISTRY APPRECIATION/WITH APPRECIATION FOR YOUR MINISTRY PKG/6-J3467</v>
      </c>
      <c r="D483" s="3" t="str">
        <f>"J3467"</f>
        <v>J3467</v>
      </c>
      <c r="E483" s="3" t="str">
        <f>"ED28E019"</f>
        <v>ED28E019</v>
      </c>
    </row>
    <row r="484" spans="1:5" x14ac:dyDescent="0.25">
      <c r="A484" s="3" t="str">
        <f>"345273"</f>
        <v>345273</v>
      </c>
      <c r="B484" s="4" t="str">
        <f>"81983794605"</f>
        <v>81983794605</v>
      </c>
      <c r="C484" t="str">
        <f>"EVERYDAY COUNTER-CONGRATULATIONS GRADUATE PKG/6"</f>
        <v>EVERYDAY COUNTER-CONGRATULATIONS GRADUATE PKG/6</v>
      </c>
      <c r="D484" s="3" t="str">
        <f>"U2679"</f>
        <v>U2679</v>
      </c>
      <c r="E484" s="3" t="str">
        <f>"ED28E020"</f>
        <v>ED28E020</v>
      </c>
    </row>
    <row r="485" spans="1:5" x14ac:dyDescent="0.25">
      <c r="A485" s="3" t="str">
        <f>"345272"</f>
        <v>345272</v>
      </c>
      <c r="B485" s="4" t="str">
        <f>"81983794599"</f>
        <v>81983794599</v>
      </c>
      <c r="C485" t="str">
        <f>"EVERYDAY COUNTER-CONGRATULATIONS GRADUATE PKG/6"</f>
        <v>EVERYDAY COUNTER-CONGRATULATIONS GRADUATE PKG/6</v>
      </c>
      <c r="D485" s="3" t="str">
        <f>"U2678"</f>
        <v>U2678</v>
      </c>
      <c r="E485" s="3" t="str">
        <f>"ED28E021"</f>
        <v>ED28E021</v>
      </c>
    </row>
    <row r="486" spans="1:5" x14ac:dyDescent="0.25">
      <c r="A486" s="3" t="str">
        <f>"298783"</f>
        <v>298783</v>
      </c>
      <c r="B486" s="4" t="str">
        <f>"81983550379"</f>
        <v>81983550379</v>
      </c>
      <c r="C486" t="str">
        <f>"EVERYDAY COUNTER-CONGRATULATIONS-27075"</f>
        <v>EVERYDAY COUNTER-CONGRATULATIONS-27075</v>
      </c>
      <c r="D486" s="3" t="str">
        <f>"27075"</f>
        <v>27075</v>
      </c>
      <c r="E486" s="3" t="str">
        <f>"ED28E022"</f>
        <v>ED28E022</v>
      </c>
    </row>
    <row r="487" spans="1:5" x14ac:dyDescent="0.25">
      <c r="A487" s="3" t="str">
        <f>"307946"</f>
        <v>307946</v>
      </c>
      <c r="B487" s="4" t="str">
        <f>"81983772146"</f>
        <v>81983772146</v>
      </c>
      <c r="C487" t="str">
        <f>"EVERYDAY COUNTER-ORDINATION-J9926"</f>
        <v>EVERYDAY COUNTER-ORDINATION-J9926</v>
      </c>
      <c r="D487" s="3" t="str">
        <f>"J9926"</f>
        <v>J9926</v>
      </c>
      <c r="E487" s="3" t="str">
        <f>"ED28E023"</f>
        <v>ED28E023</v>
      </c>
    </row>
    <row r="488" spans="1:5" x14ac:dyDescent="0.25">
      <c r="A488" s="3" t="str">
        <f>"308219"</f>
        <v>308219</v>
      </c>
      <c r="B488" s="4" t="str">
        <f>"81983677410"</f>
        <v>81983677410</v>
      </c>
      <c r="C488" t="str">
        <f>"EVERYDAY COUNTER-ADULT BAPTISM PKG/6-91998"</f>
        <v>EVERYDAY COUNTER-ADULT BAPTISM PKG/6-91998</v>
      </c>
      <c r="D488" s="3" t="str">
        <f>"91998"</f>
        <v>91998</v>
      </c>
      <c r="E488" s="3" t="str">
        <f>"ED28E024"</f>
        <v>ED28E024</v>
      </c>
    </row>
    <row r="489" spans="1:5" x14ac:dyDescent="0.25">
      <c r="A489" s="3" t="str">
        <f>"308468"</f>
        <v>308468</v>
      </c>
      <c r="B489" s="4" t="str">
        <f>"81983722004"</f>
        <v>81983722004</v>
      </c>
      <c r="C489" t="str">
        <f>"EVERYDAY COUNTER-THANK YOU/GOD BLESS YOU PLANTERS PKG/6-J3452"</f>
        <v>EVERYDAY COUNTER-THANK YOU/GOD BLESS YOU PLANTERS PKG/6-J3452</v>
      </c>
      <c r="D489" s="3" t="str">
        <f>"J3452"</f>
        <v>J3452</v>
      </c>
      <c r="E489" s="3" t="str">
        <f>"ED28E025"</f>
        <v>ED28E025</v>
      </c>
    </row>
    <row r="490" spans="1:5" x14ac:dyDescent="0.25">
      <c r="A490" s="3" t="str">
        <f>"308143"</f>
        <v>308143</v>
      </c>
      <c r="B490" s="4" t="str">
        <f>"81983774669"</f>
        <v>81983774669</v>
      </c>
      <c r="C490" t="str">
        <f>"EVERYDAY COUNTER-THANK YOU CLERGY PASTOR-82373"</f>
        <v>EVERYDAY COUNTER-THANK YOU CLERGY PASTOR-82373</v>
      </c>
      <c r="D490" s="3" t="str">
        <f>"82373"</f>
        <v>82373</v>
      </c>
      <c r="E490" s="3" t="str">
        <f>"ED28E026"</f>
        <v>ED28E026</v>
      </c>
    </row>
    <row r="491" spans="1:5" x14ac:dyDescent="0.25">
      <c r="A491" s="3" t="str">
        <f>"298787"</f>
        <v>298787</v>
      </c>
      <c r="B491" s="4" t="str">
        <f>"81983774713"</f>
        <v>81983774713</v>
      </c>
      <c r="C491" t="str">
        <f>"EVERYDAY COUNTER-WHAT A PRIVILEGE-27408"</f>
        <v>EVERYDAY COUNTER-WHAT A PRIVILEGE-27408</v>
      </c>
      <c r="D491" s="3" t="str">
        <f>"27408"</f>
        <v>27408</v>
      </c>
      <c r="E491" s="3" t="str">
        <f>"ED28E027"</f>
        <v>ED28E027</v>
      </c>
    </row>
    <row r="492" spans="1:5" x14ac:dyDescent="0.25">
      <c r="A492" s="3" t="str">
        <f>"345227"</f>
        <v>345227</v>
      </c>
      <c r="B492" s="4" t="str">
        <f>"81983789038"</f>
        <v>81983789038</v>
      </c>
      <c r="C492" t="str">
        <f>"EVERYDAY COUNTER-BABY CONGRATS-PREMIUM PKG/2"</f>
        <v>EVERYDAY COUNTER-BABY CONGRATS-PREMIUM PKG/2</v>
      </c>
      <c r="D492" s="3" t="str">
        <f>"U1989"</f>
        <v>U1989</v>
      </c>
      <c r="E492" s="3" t="str">
        <f>"ED28E028"</f>
        <v>ED28E028</v>
      </c>
    </row>
    <row r="493" spans="1:5" x14ac:dyDescent="0.25">
      <c r="A493" s="3" t="str">
        <f>"345270"</f>
        <v>345270</v>
      </c>
      <c r="B493" s="4" t="str">
        <f>"81983794575"</f>
        <v>81983794575</v>
      </c>
      <c r="C493" t="str">
        <f>"EVERYDAY COUNTER-CONGRATULATIONS BABY PKG/6"</f>
        <v>EVERYDAY COUNTER-CONGRATULATIONS BABY PKG/6</v>
      </c>
      <c r="D493" s="3" t="str">
        <f>"U2676"</f>
        <v>U2676</v>
      </c>
      <c r="E493" s="3" t="str">
        <f>"ED28E029"</f>
        <v>ED28E029</v>
      </c>
    </row>
    <row r="494" spans="1:5" x14ac:dyDescent="0.25">
      <c r="A494" s="3" t="str">
        <f>"308108"</f>
        <v>308108</v>
      </c>
      <c r="B494" s="4" t="str">
        <f>"81983771781"</f>
        <v>81983771781</v>
      </c>
      <c r="C494" t="str">
        <f>"EVERYDAY COUNTER-CONGRATS-J9890"</f>
        <v>EVERYDAY COUNTER-CONGRATS-J9890</v>
      </c>
      <c r="D494" s="3" t="str">
        <f>"J9890"</f>
        <v>J9890</v>
      </c>
      <c r="E494" s="3" t="str">
        <f>"ED28E030"</f>
        <v>ED28E030</v>
      </c>
    </row>
    <row r="495" spans="1:5" x14ac:dyDescent="0.25">
      <c r="A495" s="3" t="str">
        <f>"298717"</f>
        <v>298717</v>
      </c>
      <c r="B495" s="4" t="str">
        <f>"81983678257"</f>
        <v>81983678257</v>
      </c>
      <c r="C495" t="str">
        <f>"EVERYDAY COUNTER-SPIRIT OCC-ORDINATION-11501"</f>
        <v>EVERYDAY COUNTER-SPIRIT OCC-ORDINATION-11501</v>
      </c>
      <c r="D495" s="3" t="str">
        <f>"11501"</f>
        <v>11501</v>
      </c>
      <c r="E495" s="3" t="str">
        <f>"ED28E031"</f>
        <v>ED28E031</v>
      </c>
    </row>
    <row r="496" spans="1:5" x14ac:dyDescent="0.25">
      <c r="A496" s="3" t="str">
        <f>"307944"</f>
        <v>307944</v>
      </c>
      <c r="B496" s="4" t="str">
        <f>"81983772092"</f>
        <v>81983772092</v>
      </c>
      <c r="C496" t="str">
        <f>"EVERYDAY COUNTER-BAPTISM - ADULT PK/6-J9921"</f>
        <v>EVERYDAY COUNTER-BAPTISM - ADULT PK/6-J9921</v>
      </c>
      <c r="D496" s="3" t="str">
        <f>"J9921"</f>
        <v>J9921</v>
      </c>
      <c r="E496" s="3" t="str">
        <f>"ED28E032"</f>
        <v>ED28E032</v>
      </c>
    </row>
    <row r="497" spans="1:5" x14ac:dyDescent="0.25">
      <c r="A497" s="3" t="str">
        <f>"308473"</f>
        <v>308473</v>
      </c>
      <c r="B497" s="4" t="str">
        <f>"81983722042"</f>
        <v>81983722042</v>
      </c>
      <c r="C497" t="str">
        <f>"EVERYDAY COUNTER-THANK YOU/FOR THOSE WHO MAKE A DIFFERENCE PKG/6-J3456"</f>
        <v>EVERYDAY COUNTER-THANK YOU/FOR THOSE WHO MAKE A DIFFERENCE PKG/6-J3456</v>
      </c>
      <c r="D497" s="3" t="str">
        <f>"J3456"</f>
        <v>J3456</v>
      </c>
      <c r="E497" s="3" t="str">
        <f>"ED28E033"</f>
        <v>ED28E033</v>
      </c>
    </row>
    <row r="498" spans="1:5" x14ac:dyDescent="0.25">
      <c r="A498" s="3" t="str">
        <f>"298753"</f>
        <v>298753</v>
      </c>
      <c r="B498" s="4" t="str">
        <f>"81983593543"</f>
        <v>81983593543</v>
      </c>
      <c r="C498" t="str">
        <f>"EVERYDAY COUNTER-TY-PASTOR-11752"</f>
        <v>EVERYDAY COUNTER-TY-PASTOR-11752</v>
      </c>
      <c r="D498" s="3" t="str">
        <f>"11752"</f>
        <v>11752</v>
      </c>
      <c r="E498" s="3" t="str">
        <f>"ED28E034"</f>
        <v>ED28E034</v>
      </c>
    </row>
    <row r="499" spans="1:5" x14ac:dyDescent="0.25">
      <c r="A499" s="3" t="str">
        <f>"298788"</f>
        <v>298788</v>
      </c>
      <c r="B499" s="4" t="str">
        <f>"81983774706"</f>
        <v>81983774706</v>
      </c>
      <c r="C499" t="str">
        <f>"EVERYDAY COUNTER-YOU SERVE THE LORD-27409"</f>
        <v>EVERYDAY COUNTER-YOU SERVE THE LORD-27409</v>
      </c>
      <c r="D499" s="3" t="str">
        <f>"27409"</f>
        <v>27409</v>
      </c>
      <c r="E499" s="3" t="str">
        <f>"ED28E035"</f>
        <v>ED28E035</v>
      </c>
    </row>
    <row r="500" spans="1:5" x14ac:dyDescent="0.25">
      <c r="A500" s="3" t="str">
        <f>"279576"</f>
        <v>279576</v>
      </c>
      <c r="B500" s="4" t="str">
        <f>"81983757297"</f>
        <v>81983757297</v>
      </c>
      <c r="C500" t="str">
        <f>"EVERYDAY COUNTER-BABY CONGRATS GIRL PKG/6-J8177"</f>
        <v>EVERYDAY COUNTER-BABY CONGRATS GIRL PKG/6-J8177</v>
      </c>
      <c r="D500" s="3" t="str">
        <f>"J8177"</f>
        <v>J8177</v>
      </c>
      <c r="E500" s="3" t="str">
        <f>"ED28E036"</f>
        <v>ED28E036</v>
      </c>
    </row>
    <row r="501" spans="1:5" x14ac:dyDescent="0.25">
      <c r="A501" s="3" t="str">
        <f>"308206"</f>
        <v>308206</v>
      </c>
      <c r="B501" s="4" t="str">
        <f>"81983677281"</f>
        <v>81983677281</v>
      </c>
      <c r="C501" t="str">
        <f>"EVERYDAY COUNTER-BABY CONGRATS BOY PKG/6-91984"</f>
        <v>EVERYDAY COUNTER-BABY CONGRATS BOY PKG/6-91984</v>
      </c>
      <c r="D501" s="3" t="str">
        <f>"91984"</f>
        <v>91984</v>
      </c>
      <c r="E501" s="3" t="str">
        <f>"ED28E037"</f>
        <v>ED28E037</v>
      </c>
    </row>
    <row r="502" spans="1:5" x14ac:dyDescent="0.25">
      <c r="A502" s="3" t="str">
        <f>"308210"</f>
        <v>308210</v>
      </c>
      <c r="B502" s="4" t="str">
        <f>"81983677328"</f>
        <v>81983677328</v>
      </c>
      <c r="C502" t="str">
        <f>"EVERYDAY COUNTER-CONGRATS FOR ANYONE PKG/6-91989"</f>
        <v>EVERYDAY COUNTER-CONGRATS FOR ANYONE PKG/6-91989</v>
      </c>
      <c r="D502" s="3" t="str">
        <f>"91989"</f>
        <v>91989</v>
      </c>
      <c r="E502" s="3" t="str">
        <f>"ED28E038"</f>
        <v>ED28E038</v>
      </c>
    </row>
    <row r="503" spans="1:5" x14ac:dyDescent="0.25">
      <c r="A503" s="3" t="str">
        <f>"279613"</f>
        <v>279613</v>
      </c>
      <c r="B503" s="4" t="str">
        <f>"81983774317"</f>
        <v>81983774317</v>
      </c>
      <c r="C503" t="str">
        <f>"EVERYDAY COUNTER-SPIRITUAL OCC-CONFIRMATION PKG/6-J8207"</f>
        <v>EVERYDAY COUNTER-SPIRITUAL OCC-CONFIRMATION PKG/6-J8207</v>
      </c>
      <c r="D503" s="3" t="str">
        <f>"J8207"</f>
        <v>J8207</v>
      </c>
      <c r="E503" s="3" t="str">
        <f>"ED28E039"</f>
        <v>ED28E039</v>
      </c>
    </row>
    <row r="504" spans="1:5" x14ac:dyDescent="0.25">
      <c r="A504" s="3" t="str">
        <f>"279609"</f>
        <v>279609</v>
      </c>
      <c r="B504" s="4" t="str">
        <f>"81983757556"</f>
        <v>81983757556</v>
      </c>
      <c r="C504" t="str">
        <f>"EVERYDAY COUNTER-SPIRITUAL OCC BAPTISM ADULT PKG/6-J8203"</f>
        <v>EVERYDAY COUNTER-SPIRITUAL OCC BAPTISM ADULT PKG/6-J8203</v>
      </c>
      <c r="D504" s="3" t="str">
        <f>"J8203"</f>
        <v>J8203</v>
      </c>
      <c r="E504" s="3" t="str">
        <f>"ED28E040"</f>
        <v>ED28E040</v>
      </c>
    </row>
    <row r="505" spans="1:5" x14ac:dyDescent="0.25">
      <c r="A505" s="3" t="str">
        <f>"307948"</f>
        <v>307948</v>
      </c>
      <c r="B505" s="4" t="str">
        <f>"81983584633"</f>
        <v>81983584633</v>
      </c>
      <c r="C505" t="str">
        <f>"EVERYDAY COUNTER-THANK YOU-47934"</f>
        <v>EVERYDAY COUNTER-THANK YOU-47934</v>
      </c>
      <c r="D505" s="3" t="str">
        <f>"47934"</f>
        <v>47934</v>
      </c>
      <c r="E505" s="3" t="str">
        <f>"ED28E041"</f>
        <v>ED28E041</v>
      </c>
    </row>
    <row r="506" spans="1:5" x14ac:dyDescent="0.25">
      <c r="A506" s="3" t="str">
        <f>"298674"</f>
        <v>298674</v>
      </c>
      <c r="B506" s="4" t="str">
        <f>"81983651700"</f>
        <v>81983651700</v>
      </c>
      <c r="C506" t="str">
        <f>"EVERYDAY COUNTER-TY CLERGY PKG/6-10239"</f>
        <v>EVERYDAY COUNTER-TY CLERGY PKG/6-10239</v>
      </c>
      <c r="D506" s="3" t="str">
        <f>"10239"</f>
        <v>10239</v>
      </c>
      <c r="E506" s="3" t="str">
        <f>"ED28E042"</f>
        <v>ED28E042</v>
      </c>
    </row>
    <row r="507" spans="1:5" x14ac:dyDescent="0.25">
      <c r="A507" s="3" t="str">
        <f>"279645"</f>
        <v>279645</v>
      </c>
      <c r="B507" s="4" t="str">
        <f>"81983757846"</f>
        <v>81983757846</v>
      </c>
      <c r="C507" t="str">
        <f>"EVERYDAY COUNTER-THANK YOU - PASTOR'S WIFE APPR PKG/6-J8232"</f>
        <v>EVERYDAY COUNTER-THANK YOU - PASTOR'S WIFE APPR PKG/6-J8232</v>
      </c>
      <c r="D507" s="3" t="str">
        <f>"J8232"</f>
        <v>J8232</v>
      </c>
      <c r="E507" s="3" t="str">
        <f>"ED28E043"</f>
        <v>ED28E043</v>
      </c>
    </row>
    <row r="508" spans="1:5" x14ac:dyDescent="0.25">
      <c r="A508" s="3" t="str">
        <f>"308083"</f>
        <v>308083</v>
      </c>
      <c r="B508" s="4" t="str">
        <f>"81983567612"</f>
        <v>81983567612</v>
      </c>
      <c r="C508" t="str">
        <f>"EVERYDAY COUNTER-BABY CONGRATS GIRL PKG/6-75238"</f>
        <v>EVERYDAY COUNTER-BABY CONGRATS GIRL PKG/6-75238</v>
      </c>
      <c r="D508" s="3" t="str">
        <f>"75238"</f>
        <v>75238</v>
      </c>
      <c r="E508" s="3" t="str">
        <f>"ED28E044"</f>
        <v>ED28E044</v>
      </c>
    </row>
    <row r="509" spans="1:5" x14ac:dyDescent="0.25">
      <c r="A509" s="3" t="str">
        <f>"279574"</f>
        <v>279574</v>
      </c>
      <c r="B509" s="4" t="str">
        <f>"81983773297"</f>
        <v>81983773297</v>
      </c>
      <c r="C509" t="str">
        <f>"EVERYDAY COUNTER-BABY CONGRATS BOY PKG/6-J8175"</f>
        <v>EVERYDAY COUNTER-BABY CONGRATS BOY PKG/6-J8175</v>
      </c>
      <c r="D509" s="3" t="str">
        <f>"J8175"</f>
        <v>J8175</v>
      </c>
      <c r="E509" s="3" t="str">
        <f>"ED28E045"</f>
        <v>ED28E045</v>
      </c>
    </row>
    <row r="510" spans="1:5" x14ac:dyDescent="0.25">
      <c r="A510" s="3" t="str">
        <f>"298683"</f>
        <v>298683</v>
      </c>
      <c r="B510" s="4" t="str">
        <f>"81983652042"</f>
        <v>81983652042</v>
      </c>
      <c r="C510" t="str">
        <f>"EVERYDAY COUNTER-CONGRATULATIONS PKG/6-10253"</f>
        <v>EVERYDAY COUNTER-CONGRATULATIONS PKG/6-10253</v>
      </c>
      <c r="D510" s="3" t="str">
        <f>"10253"</f>
        <v>10253</v>
      </c>
      <c r="E510" s="3" t="str">
        <f>"ED28E046"</f>
        <v>ED28E046</v>
      </c>
    </row>
    <row r="511" spans="1:5" x14ac:dyDescent="0.25">
      <c r="A511" s="3" t="str">
        <f>"279612"</f>
        <v>279612</v>
      </c>
      <c r="B511" s="4" t="str">
        <f>"81983757587"</f>
        <v>81983757587</v>
      </c>
      <c r="C511" t="str">
        <f>"EVERYDAY COUNTER-SPIRITUAL OCC-CONFIRMATION PKG/6-J8206"</f>
        <v>EVERYDAY COUNTER-SPIRITUAL OCC-CONFIRMATION PKG/6-J8206</v>
      </c>
      <c r="D511" s="3" t="str">
        <f>"J8206"</f>
        <v>J8206</v>
      </c>
      <c r="E511" s="3" t="str">
        <f>"ED28E047"</f>
        <v>ED28E047</v>
      </c>
    </row>
    <row r="512" spans="1:5" x14ac:dyDescent="0.25">
      <c r="A512" s="3" t="str">
        <f>"308244"</f>
        <v>308244</v>
      </c>
      <c r="B512" s="4" t="str">
        <f>"81983678882"</f>
        <v>81983678882</v>
      </c>
      <c r="C512" t="str">
        <f>"EVERYDAY COUNTER-BAPTISM PKG/6-92185"</f>
        <v>EVERYDAY COUNTER-BAPTISM PKG/6-92185</v>
      </c>
      <c r="D512" s="3" t="str">
        <f>"92185"</f>
        <v>92185</v>
      </c>
      <c r="E512" s="3" t="str">
        <f>"ED28E048"</f>
        <v>ED28E048</v>
      </c>
    </row>
    <row r="513" spans="1:5" x14ac:dyDescent="0.25">
      <c r="A513" s="3" t="str">
        <f>"308152"</f>
        <v>308152</v>
      </c>
      <c r="B513" s="4" t="str">
        <f>"81983772313"</f>
        <v>81983772313</v>
      </c>
      <c r="C513" t="str">
        <f>"EVERYDAY COUNTER-THANK YOU - FOR ANYONE-J9943"</f>
        <v>EVERYDAY COUNTER-THANK YOU - FOR ANYONE-J9943</v>
      </c>
      <c r="D513" s="3" t="str">
        <f>"J9943"</f>
        <v>J9943</v>
      </c>
      <c r="E513" s="3" t="str">
        <f>"ED28E049"</f>
        <v>ED28E049</v>
      </c>
    </row>
    <row r="514" spans="1:5" x14ac:dyDescent="0.25">
      <c r="A514" s="3" t="str">
        <f>"308145"</f>
        <v>308145</v>
      </c>
      <c r="B514" s="4" t="str">
        <f>"81983584626"</f>
        <v>81983584626</v>
      </c>
      <c r="C514" t="str">
        <f>"EVERYDAY COUNTER-THANK YOU-82375"</f>
        <v>EVERYDAY COUNTER-THANK YOU-82375</v>
      </c>
      <c r="D514" s="3" t="str">
        <f>"82375"</f>
        <v>82375</v>
      </c>
      <c r="E514" s="3" t="str">
        <f>"ED28E050"</f>
        <v>ED28E050</v>
      </c>
    </row>
    <row r="515" spans="1:5" x14ac:dyDescent="0.25">
      <c r="A515" s="3" t="str">
        <f>"308467"</f>
        <v>308467</v>
      </c>
      <c r="B515" s="4" t="str">
        <f>"81983721991"</f>
        <v>81983721991</v>
      </c>
      <c r="C515" t="str">
        <f>"EVERYDAY COUNTER-THANK YOU/KINDNESS OF OTHERS PKG/6-J3451"</f>
        <v>EVERYDAY COUNTER-THANK YOU/KINDNESS OF OTHERS PKG/6-J3451</v>
      </c>
      <c r="D515" s="3" t="str">
        <f>"J3451"</f>
        <v>J3451</v>
      </c>
      <c r="E515" s="3" t="str">
        <f>"ED28E051"</f>
        <v>ED28E051</v>
      </c>
    </row>
    <row r="516" spans="1:5" x14ac:dyDescent="0.25">
      <c r="A516" s="3" t="str">
        <f>"298760"</f>
        <v>298760</v>
      </c>
      <c r="B516" s="4" t="str">
        <f>"81983771750"</f>
        <v>81983771750</v>
      </c>
      <c r="C516" t="str">
        <f>"EVERYDAY COUNTER-BABY CONGRATS-GIRL PKG/6-J9887"</f>
        <v>EVERYDAY COUNTER-BABY CONGRATS-GIRL PKG/6-J9887</v>
      </c>
      <c r="D516" s="3" t="str">
        <f>"J9887"</f>
        <v>J9887</v>
      </c>
      <c r="E516" s="3" t="str">
        <f>"ED28E052"</f>
        <v>ED28E052</v>
      </c>
    </row>
    <row r="517" spans="1:5" x14ac:dyDescent="0.25">
      <c r="A517" s="3" t="str">
        <f>"298711"</f>
        <v>298711</v>
      </c>
      <c r="B517" s="4" t="str">
        <f>"81983652592"</f>
        <v>81983652592</v>
      </c>
      <c r="C517" t="str">
        <f>"EVERYDAY COUNTER-BABY CONGRATS BOY PKG/6-10293"</f>
        <v>EVERYDAY COUNTER-BABY CONGRATS BOY PKG/6-10293</v>
      </c>
      <c r="D517" s="3" t="str">
        <f>"10293"</f>
        <v>10293</v>
      </c>
      <c r="E517" s="3" t="str">
        <f>"ED28E053"</f>
        <v>ED28E053</v>
      </c>
    </row>
    <row r="518" spans="1:5" x14ac:dyDescent="0.25">
      <c r="A518" s="3" t="str">
        <f>"298718"</f>
        <v>298718</v>
      </c>
      <c r="B518" s="4" t="str">
        <f>"81983771798"</f>
        <v>81983771798</v>
      </c>
      <c r="C518" t="str">
        <f>"EVERYDAY COUNTER-CONGRATS-FOR ANYONE-J9891"</f>
        <v>EVERYDAY COUNTER-CONGRATS-FOR ANYONE-J9891</v>
      </c>
      <c r="D518" s="3" t="str">
        <f>"J9891"</f>
        <v>J9891</v>
      </c>
      <c r="E518" s="3" t="str">
        <f>"ED28E054"</f>
        <v>ED28E054</v>
      </c>
    </row>
    <row r="519" spans="1:5" x14ac:dyDescent="0.25">
      <c r="A519" s="3" t="str">
        <f>"307972"</f>
        <v>307972</v>
      </c>
      <c r="B519" s="4" t="str">
        <f>"81983618680"</f>
        <v>81983618680</v>
      </c>
      <c r="C519" t="str">
        <f>"EVERYDAY COUNTER-SPIRIT OCC-CONFIRMATION-55201"</f>
        <v>EVERYDAY COUNTER-SPIRIT OCC-CONFIRMATION-55201</v>
      </c>
      <c r="D519" s="3" t="str">
        <f>"55201"</f>
        <v>55201</v>
      </c>
      <c r="E519" s="3" t="str">
        <f>"ED28E055"</f>
        <v>ED28E055</v>
      </c>
    </row>
    <row r="520" spans="1:5" x14ac:dyDescent="0.25">
      <c r="A520" s="3" t="str">
        <f>"345255"</f>
        <v>345255</v>
      </c>
      <c r="B520" s="4" t="str">
        <f>"81983793769"</f>
        <v>81983793769</v>
      </c>
      <c r="C520" t="str">
        <f>"EVERYDAY COUNTER-BAPTISM ADULT PKG/6"</f>
        <v>EVERYDAY COUNTER-BAPTISM ADULT PKG/6</v>
      </c>
      <c r="D520" s="3" t="str">
        <f>"U2592"</f>
        <v>U2592</v>
      </c>
      <c r="E520" s="3" t="str">
        <f>"ED28E056"</f>
        <v>ED28E056</v>
      </c>
    </row>
    <row r="521" spans="1:5" x14ac:dyDescent="0.25">
      <c r="A521" s="3" t="str">
        <f>"308466"</f>
        <v>308466</v>
      </c>
      <c r="B521" s="4" t="str">
        <f>"81983721984"</f>
        <v>81983721984</v>
      </c>
      <c r="C521" t="str">
        <f>"EVERYDAY COUNTER-THANK YOU/WITH APPRECIATION PKG/6-J3450"</f>
        <v>EVERYDAY COUNTER-THANK YOU/WITH APPRECIATION PKG/6-J3450</v>
      </c>
      <c r="D521" s="3" t="str">
        <f>"J3450"</f>
        <v>J3450</v>
      </c>
      <c r="E521" s="3" t="str">
        <f>"ED28E057"</f>
        <v>ED28E057</v>
      </c>
    </row>
    <row r="522" spans="1:5" x14ac:dyDescent="0.25">
      <c r="A522" s="3" t="str">
        <f>"308154"</f>
        <v>308154</v>
      </c>
      <c r="B522" s="4" t="str">
        <f>"81983573330"</f>
        <v>81983573330</v>
      </c>
      <c r="C522" t="str">
        <f>"EVERYDAY COUNTER-THANK YOU - FOR ANYONE-83838"</f>
        <v>EVERYDAY COUNTER-THANK YOU - FOR ANYONE-83838</v>
      </c>
      <c r="D522" s="3" t="str">
        <f>"83838"</f>
        <v>83838</v>
      </c>
      <c r="E522" s="3" t="str">
        <f>"ED28E058"</f>
        <v>ED28E058</v>
      </c>
    </row>
    <row r="523" spans="1:5" x14ac:dyDescent="0.25">
      <c r="A523" s="3" t="str">
        <f>"308228"</f>
        <v>308228</v>
      </c>
      <c r="B523" s="4" t="str">
        <f>"81983677489"</f>
        <v>81983677489</v>
      </c>
      <c r="C523" t="str">
        <f>"EVERYDAY COUNTER-THANK YOU PKG/6-92005"</f>
        <v>EVERYDAY COUNTER-THANK YOU PKG/6-92005</v>
      </c>
      <c r="D523" s="3" t="str">
        <f>"92005"</f>
        <v>92005</v>
      </c>
      <c r="E523" s="3" t="str">
        <f>"ED28E059"</f>
        <v>ED28E059</v>
      </c>
    </row>
    <row r="524" spans="1:5" x14ac:dyDescent="0.25">
      <c r="A524" s="3" t="str">
        <f>"308007"</f>
        <v>308007</v>
      </c>
      <c r="B524" s="4" t="str">
        <f>"81983619038"</f>
        <v>81983619038</v>
      </c>
      <c r="C524" t="str">
        <f>"EVERYDAY COUNTER-CONGRATS-BABY GIRL-55908"</f>
        <v>EVERYDAY COUNTER-CONGRATS-BABY GIRL-55908</v>
      </c>
      <c r="D524" s="3" t="str">
        <f>"55908"</f>
        <v>55908</v>
      </c>
      <c r="E524" s="3" t="str">
        <f>"ED28E060"</f>
        <v>ED28E060</v>
      </c>
    </row>
    <row r="525" spans="1:5" x14ac:dyDescent="0.25">
      <c r="A525" s="3" t="str">
        <f>"308114"</f>
        <v>308114</v>
      </c>
      <c r="B525" s="4" t="str">
        <f>"81983644320"</f>
        <v>81983644320</v>
      </c>
      <c r="C525" t="str">
        <f>"EVERYDAY COUNTER-BABY BOY CONGRATS PKG/6-76489"</f>
        <v>EVERYDAY COUNTER-BABY BOY CONGRATS PKG/6-76489</v>
      </c>
      <c r="D525" s="3" t="str">
        <f>"76489"</f>
        <v>76489</v>
      </c>
      <c r="E525" s="3" t="str">
        <f>"ED28E061"</f>
        <v>ED28E061</v>
      </c>
    </row>
    <row r="526" spans="1:5" x14ac:dyDescent="0.25">
      <c r="A526" s="3" t="str">
        <f>"308211"</f>
        <v>308211</v>
      </c>
      <c r="B526" s="4" t="str">
        <f>"81983773327"</f>
        <v>81983773327</v>
      </c>
      <c r="C526" t="str">
        <f>"EVERYDAY COUNTER-CONGRATS FOR ANYONE PKG/6-91990"</f>
        <v>EVERYDAY COUNTER-CONGRATS FOR ANYONE PKG/6-91990</v>
      </c>
      <c r="D526" s="3" t="str">
        <f>"91990"</f>
        <v>91990</v>
      </c>
      <c r="E526" s="3" t="str">
        <f>"ED28E062"</f>
        <v>ED28E062</v>
      </c>
    </row>
    <row r="527" spans="1:5" x14ac:dyDescent="0.25">
      <c r="A527" s="3" t="str">
        <f>"308043"</f>
        <v>308043</v>
      </c>
      <c r="B527" s="4" t="str">
        <f>"81983774324"</f>
        <v>81983774324</v>
      </c>
      <c r="C527" t="str">
        <f>"EVERYDAY COUNTER-COMMUNION-72717"</f>
        <v>EVERYDAY COUNTER-COMMUNION-72717</v>
      </c>
      <c r="D527" s="3" t="str">
        <f>"72717"</f>
        <v>72717</v>
      </c>
      <c r="E527" s="3" t="str">
        <f>"ED28E063"</f>
        <v>ED28E063</v>
      </c>
    </row>
    <row r="528" spans="1:5" x14ac:dyDescent="0.25">
      <c r="A528" s="3" t="str">
        <f>"298701"</f>
        <v>298701</v>
      </c>
      <c r="B528" s="4" t="str">
        <f>"81983652394"</f>
        <v>81983652394</v>
      </c>
      <c r="C528" t="str">
        <f>"EVERYDAY COUNTER-BAPTISM ADULT PKG/6-10279"</f>
        <v>EVERYDAY COUNTER-BAPTISM ADULT PKG/6-10279</v>
      </c>
      <c r="D528" s="3" t="str">
        <f>"10279"</f>
        <v>10279</v>
      </c>
      <c r="E528" s="3" t="str">
        <f>"ED28E064"</f>
        <v>ED28E064</v>
      </c>
    </row>
    <row r="529" spans="1:5" x14ac:dyDescent="0.25">
      <c r="A529" s="3" t="str">
        <f>"279640"</f>
        <v>279640</v>
      </c>
      <c r="B529" s="4" t="str">
        <f>"81983757808"</f>
        <v>81983757808</v>
      </c>
      <c r="C529" t="str">
        <f>"EVERYDAY COUNTER-THANK YOU PKG/6-J8228"</f>
        <v>EVERYDAY COUNTER-THANK YOU PKG/6-J8228</v>
      </c>
      <c r="D529" s="3" t="str">
        <f>"J8228"</f>
        <v>J8228</v>
      </c>
      <c r="E529" s="3" t="str">
        <f>"ED28E065"</f>
        <v>ED28E065</v>
      </c>
    </row>
    <row r="530" spans="1:5" x14ac:dyDescent="0.25">
      <c r="A530" s="3" t="str">
        <f>"308165"</f>
        <v>308165</v>
      </c>
      <c r="B530" s="4" t="str">
        <f>"81983589614"</f>
        <v>81983589614</v>
      </c>
      <c r="C530" t="str">
        <f>"EVERYDAY COUNTER-THANK YOU - FOR ANYONE-84018"</f>
        <v>EVERYDAY COUNTER-THANK YOU - FOR ANYONE-84018</v>
      </c>
      <c r="D530" s="3" t="str">
        <f>"84018"</f>
        <v>84018</v>
      </c>
      <c r="E530" s="3" t="str">
        <f>"ED28E066"</f>
        <v>ED28E066</v>
      </c>
    </row>
    <row r="531" spans="1:5" x14ac:dyDescent="0.25">
      <c r="A531" s="3" t="str">
        <f>"308144"</f>
        <v>308144</v>
      </c>
      <c r="B531" s="4" t="str">
        <f>"81983584664"</f>
        <v>81983584664</v>
      </c>
      <c r="C531" t="str">
        <f>"EVERYDAY COUNTER-THANK YOU-82374"</f>
        <v>EVERYDAY COUNTER-THANK YOU-82374</v>
      </c>
      <c r="D531" s="3" t="str">
        <f>"82374"</f>
        <v>82374</v>
      </c>
      <c r="E531" s="3" t="str">
        <f>"ED28E067"</f>
        <v>ED28E067</v>
      </c>
    </row>
    <row r="532" spans="1:5" x14ac:dyDescent="0.25">
      <c r="A532" s="3" t="str">
        <f>"308113"</f>
        <v>308113</v>
      </c>
      <c r="B532" s="4" t="str">
        <f>"81983644313"</f>
        <v>81983644313</v>
      </c>
      <c r="C532" t="str">
        <f>"EVERYDAY COUNTER-BABY GIRL CONGRATS PKG/6-76488"</f>
        <v>EVERYDAY COUNTER-BABY GIRL CONGRATS PKG/6-76488</v>
      </c>
      <c r="D532" s="3" t="str">
        <f>"76488"</f>
        <v>76488</v>
      </c>
      <c r="E532" s="3" t="str">
        <f>"ED28E068"</f>
        <v>ED28E068</v>
      </c>
    </row>
    <row r="533" spans="1:5" x14ac:dyDescent="0.25">
      <c r="A533" s="3" t="str">
        <f>"298771"</f>
        <v>298771</v>
      </c>
      <c r="B533" s="4" t="str">
        <f>"81983771743"</f>
        <v>81983771743</v>
      </c>
      <c r="C533" t="str">
        <f>"EVERYDAY COUNTER-BABY CONGRATS-BOY PKG/6-J9886"</f>
        <v>EVERYDAY COUNTER-BABY CONGRATS-BOY PKG/6-J9886</v>
      </c>
      <c r="D533" s="3" t="str">
        <f>"J9886"</f>
        <v>J9886</v>
      </c>
      <c r="E533" s="3" t="str">
        <f>"ED28E069"</f>
        <v>ED28E069</v>
      </c>
    </row>
    <row r="534" spans="1:5" x14ac:dyDescent="0.25">
      <c r="A534" s="3" t="str">
        <f>"279580"</f>
        <v>279580</v>
      </c>
      <c r="B534" s="4" t="str">
        <f>"81983757327"</f>
        <v>81983757327</v>
      </c>
      <c r="C534" t="str">
        <f>"EVERYDAY COUNTER-CONGRATULATIONS PKG/6-J8180"</f>
        <v>EVERYDAY COUNTER-CONGRATULATIONS PKG/6-J8180</v>
      </c>
      <c r="D534" s="3" t="str">
        <f>"J8180"</f>
        <v>J8180</v>
      </c>
      <c r="E534" s="3" t="str">
        <f>"ED28E070"</f>
        <v>ED28E070</v>
      </c>
    </row>
    <row r="535" spans="1:5" x14ac:dyDescent="0.25">
      <c r="A535" s="3" t="str">
        <f>"307923"</f>
        <v>307923</v>
      </c>
      <c r="B535" s="4" t="str">
        <f>"81983772139"</f>
        <v>81983772139</v>
      </c>
      <c r="C535" t="str">
        <f>"EVERYDAY COUNTER-SPIRITUAL OCC-1ST COMMUNION-J9925"</f>
        <v>EVERYDAY COUNTER-SPIRITUAL OCC-1ST COMMUNION-J9925</v>
      </c>
      <c r="D535" s="3" t="str">
        <f>"J9925"</f>
        <v>J9925</v>
      </c>
      <c r="E535" s="3" t="str">
        <f>"ED28E071"</f>
        <v>ED28E071</v>
      </c>
    </row>
    <row r="536" spans="1:5" x14ac:dyDescent="0.25">
      <c r="A536" s="3" t="str">
        <f>"308090"</f>
        <v>308090</v>
      </c>
      <c r="B536" s="4" t="str">
        <f>"81983567896"</f>
        <v>81983567896</v>
      </c>
      <c r="C536" t="str">
        <f>"EVERYDAY COUNTER-BAPTISM YOUTH-75318"</f>
        <v>EVERYDAY COUNTER-BAPTISM YOUTH-75318</v>
      </c>
      <c r="D536" s="3" t="str">
        <f>"75318"</f>
        <v>75318</v>
      </c>
      <c r="E536" s="3" t="str">
        <f>"ED28E072"</f>
        <v>ED28E072</v>
      </c>
    </row>
    <row r="537" spans="1:5" x14ac:dyDescent="0.25">
      <c r="A537" s="3" t="str">
        <f>"308046"</f>
        <v>308046</v>
      </c>
      <c r="B537" s="4" t="str">
        <f>"81983774683"</f>
        <v>81983774683</v>
      </c>
      <c r="C537" t="str">
        <f>"EVERYDAY COUNTER-THANK YOU-72720"</f>
        <v>EVERYDAY COUNTER-THANK YOU-72720</v>
      </c>
      <c r="D537" s="3" t="str">
        <f>"72720"</f>
        <v>72720</v>
      </c>
      <c r="E537" s="3" t="str">
        <f>"ED28E073"</f>
        <v>ED28E073</v>
      </c>
    </row>
    <row r="538" spans="1:5" x14ac:dyDescent="0.25">
      <c r="A538" s="3" t="str">
        <f>"308166"</f>
        <v>308166</v>
      </c>
      <c r="B538" s="4" t="str">
        <f>"81983772337"</f>
        <v>81983772337</v>
      </c>
      <c r="C538" t="str">
        <f>"EVERYDAY COUNTER-THANK YOU - MILITARY-J9945"</f>
        <v>EVERYDAY COUNTER-THANK YOU - MILITARY-J9945</v>
      </c>
      <c r="D538" s="3" t="str">
        <f>"J9945"</f>
        <v>J9945</v>
      </c>
      <c r="E538" s="3" t="str">
        <f>"ED28E074"</f>
        <v>ED28E074</v>
      </c>
    </row>
    <row r="539" spans="1:5" x14ac:dyDescent="0.25">
      <c r="A539" s="3" t="str">
        <f>"345264"</f>
        <v>345264</v>
      </c>
      <c r="B539" s="4" t="str">
        <f>"81983793837"</f>
        <v>81983793837</v>
      </c>
      <c r="C539" t="str">
        <f>"EVERYDAY COUNTER-THANK YOU PKG/6-U2599"</f>
        <v>EVERYDAY COUNTER-THANK YOU PKG/6-U2599</v>
      </c>
      <c r="D539" s="3" t="str">
        <f>"U2599"</f>
        <v>U2599</v>
      </c>
      <c r="E539" s="3" t="str">
        <f>"ED28E075"</f>
        <v>ED28E075</v>
      </c>
    </row>
    <row r="540" spans="1:5" x14ac:dyDescent="0.25">
      <c r="A540" s="3" t="str">
        <f>"308438"</f>
        <v>308438</v>
      </c>
      <c r="B540" s="4" t="str">
        <f>"81983721656"</f>
        <v>81983721656</v>
      </c>
      <c r="C540" t="str">
        <f>"EVERYDAY COUNTER-BABY CONGRATS/TINY TOES  PKG/6-J3417"</f>
        <v>EVERYDAY COUNTER-BABY CONGRATS/TINY TOES  PKG/6-J3417</v>
      </c>
      <c r="D540" s="3" t="str">
        <f>"J3417"</f>
        <v>J3417</v>
      </c>
      <c r="E540" s="3" t="str">
        <f>"ED28E076"</f>
        <v>ED28E076</v>
      </c>
    </row>
    <row r="541" spans="1:5" x14ac:dyDescent="0.25">
      <c r="A541" s="3" t="str">
        <f>"298786"</f>
        <v>298786</v>
      </c>
      <c r="B541" s="4" t="str">
        <f>"81983753633"</f>
        <v>81983753633</v>
      </c>
      <c r="C541" t="str">
        <f>"EVERYDAY COUNTER-BABY CONGRATS PKG/6-27401"</f>
        <v>EVERYDAY COUNTER-BABY CONGRATS PKG/6-27401</v>
      </c>
      <c r="D541" s="3" t="str">
        <f>"27401"</f>
        <v>27401</v>
      </c>
      <c r="E541" s="3" t="str">
        <f>"ED28E077"</f>
        <v>ED28E077</v>
      </c>
    </row>
    <row r="542" spans="1:5" x14ac:dyDescent="0.25">
      <c r="A542" s="3" t="str">
        <f>"308084"</f>
        <v>308084</v>
      </c>
      <c r="B542" s="4" t="str">
        <f>"81983771804"</f>
        <v>81983771804</v>
      </c>
      <c r="C542" t="str">
        <f>"EVERYDAY COUNTER-CONGRATS GRADUATE-J9892"</f>
        <v>EVERYDAY COUNTER-CONGRATS GRADUATE-J9892</v>
      </c>
      <c r="D542" s="3" t="str">
        <f>"J9892"</f>
        <v>J9892</v>
      </c>
      <c r="E542" s="3" t="str">
        <f>"ED28E078"</f>
        <v>ED28E078</v>
      </c>
    </row>
    <row r="543" spans="1:5" x14ac:dyDescent="0.25">
      <c r="A543" s="3" t="str">
        <f>"308045"</f>
        <v>308045</v>
      </c>
      <c r="B543" s="4" t="str">
        <f>"81983643095"</f>
        <v>81983643095</v>
      </c>
      <c r="C543" t="str">
        <f>"EVERYDAY COUNTER-COMMUNION-72718"</f>
        <v>EVERYDAY COUNTER-COMMUNION-72718</v>
      </c>
      <c r="D543" s="3" t="str">
        <f>"72718"</f>
        <v>72718</v>
      </c>
      <c r="E543" s="3" t="str">
        <f>"ED28E079"</f>
        <v>ED28E079</v>
      </c>
    </row>
    <row r="544" spans="1:5" x14ac:dyDescent="0.25">
      <c r="A544" s="3" t="str">
        <f>"279607"</f>
        <v>279607</v>
      </c>
      <c r="B544" s="4" t="str">
        <f>"81983774270"</f>
        <v>81983774270</v>
      </c>
      <c r="C544" t="str">
        <f>"EVERYDAY COUNTER-SPECIAL OCC-RETIREMENT PKG/6-J8201"</f>
        <v>EVERYDAY COUNTER-SPECIAL OCC-RETIREMENT PKG/6-J8201</v>
      </c>
      <c r="D544" s="3" t="str">
        <f>"J8201"</f>
        <v>J8201</v>
      </c>
      <c r="E544" s="3" t="str">
        <f>"ED28E080"</f>
        <v>ED28E080</v>
      </c>
    </row>
    <row r="545" spans="1:5" x14ac:dyDescent="0.25">
      <c r="A545" s="3" t="str">
        <f>"298756"</f>
        <v>298756</v>
      </c>
      <c r="B545" s="4" t="str">
        <f>"81983593574"</f>
        <v>81983593574</v>
      </c>
      <c r="C545" t="str">
        <f>"EVERYDAY COUNTER-SPECIAL OCC-RETIREMENT-11755"</f>
        <v>EVERYDAY COUNTER-SPECIAL OCC-RETIREMENT-11755</v>
      </c>
      <c r="D545" s="3" t="str">
        <f>"11755"</f>
        <v>11755</v>
      </c>
      <c r="E545" s="3" t="str">
        <f>"ED28E081"</f>
        <v>ED28E081</v>
      </c>
    </row>
    <row r="546" spans="1:5" x14ac:dyDescent="0.25">
      <c r="A546" s="3" t="str">
        <f>"279643"</f>
        <v>279643</v>
      </c>
      <c r="B546" s="4" t="str">
        <f>"81983774690"</f>
        <v>81983774690</v>
      </c>
      <c r="C546" t="str">
        <f>"EVERYDAY COUNTER-THANK YOU PKG/6-J8230"</f>
        <v>EVERYDAY COUNTER-THANK YOU PKG/6-J8230</v>
      </c>
      <c r="D546" s="3" t="str">
        <f>"J8230"</f>
        <v>J8230</v>
      </c>
      <c r="E546" s="3" t="str">
        <f>"ED28E082"</f>
        <v>ED28E082</v>
      </c>
    </row>
    <row r="547" spans="1:5" x14ac:dyDescent="0.25">
      <c r="A547" s="3" t="str">
        <f>"279638"</f>
        <v>279638</v>
      </c>
      <c r="B547" s="4" t="str">
        <f>"81983757785"</f>
        <v>81983757785</v>
      </c>
      <c r="C547" t="str">
        <f>"EVERYDAY COUNTER-THANK YOU PKG/6-J8226"</f>
        <v>EVERYDAY COUNTER-THANK YOU PKG/6-J8226</v>
      </c>
      <c r="D547" s="3" t="str">
        <f>"J8226"</f>
        <v>J8226</v>
      </c>
      <c r="E547" s="3" t="str">
        <f>"ED28E083"</f>
        <v>ED28E083</v>
      </c>
    </row>
    <row r="548" spans="1:5" x14ac:dyDescent="0.25">
      <c r="A548" s="3" t="str">
        <f>"308159"</f>
        <v>308159</v>
      </c>
      <c r="B548" s="4" t="str">
        <f>"81983772276"</f>
        <v>81983772276</v>
      </c>
      <c r="C548" t="str">
        <f>"EVERYDAY COUNTER-THANK YOU - FOR ANYONE-J9939"</f>
        <v>EVERYDAY COUNTER-THANK YOU - FOR ANYONE-J9939</v>
      </c>
      <c r="D548" s="3" t="str">
        <f>"J9939"</f>
        <v>J9939</v>
      </c>
      <c r="E548" s="3" t="str">
        <f>"ED28E084"</f>
        <v>ED28E084</v>
      </c>
    </row>
    <row r="549" spans="1:5" x14ac:dyDescent="0.25">
      <c r="A549" s="3" t="str">
        <f>"279577"</f>
        <v>279577</v>
      </c>
      <c r="B549" s="4" t="str">
        <f>"81983757303"</f>
        <v>81983757303</v>
      </c>
      <c r="C549" t="str">
        <f>"EVERYDAY COUNTER-CONGRATS-BABY SHOWER PKG/6-J8178"</f>
        <v>EVERYDAY COUNTER-CONGRATS-BABY SHOWER PKG/6-J8178</v>
      </c>
      <c r="D549" s="3" t="str">
        <f>"J8178"</f>
        <v>J8178</v>
      </c>
      <c r="E549" s="3" t="str">
        <f>"ED28E085"</f>
        <v>ED28E085</v>
      </c>
    </row>
    <row r="550" spans="1:5" x14ac:dyDescent="0.25">
      <c r="A550" s="3" t="str">
        <f>"308111"</f>
        <v>308111</v>
      </c>
      <c r="B550" s="4" t="str">
        <f>"81983644290"</f>
        <v>81983644290</v>
      </c>
      <c r="C550" t="str">
        <f>"EVERYDAY COUNTER-BABY CONGRATS PKG/6-76486"</f>
        <v>EVERYDAY COUNTER-BABY CONGRATS PKG/6-76486</v>
      </c>
      <c r="D550" s="3" t="str">
        <f>"76486"</f>
        <v>76486</v>
      </c>
      <c r="E550" s="3" t="str">
        <f>"ED28E086"</f>
        <v>ED28E086</v>
      </c>
    </row>
    <row r="551" spans="1:5" x14ac:dyDescent="0.25">
      <c r="A551" s="3" t="str">
        <f>"308204"</f>
        <v>308204</v>
      </c>
      <c r="B551" s="4" t="str">
        <f>"81983677250"</f>
        <v>81983677250</v>
      </c>
      <c r="C551" t="str">
        <f>"EVERYDAY COUNTER-CONGRATULATIONS-ADOPTION PKG/6-91982"</f>
        <v>EVERYDAY COUNTER-CONGRATULATIONS-ADOPTION PKG/6-91982</v>
      </c>
      <c r="D551" s="3" t="str">
        <f>"91982"</f>
        <v>91982</v>
      </c>
      <c r="E551" s="3" t="str">
        <f>"ED28E087"</f>
        <v>ED28E087</v>
      </c>
    </row>
    <row r="552" spans="1:5" x14ac:dyDescent="0.25">
      <c r="A552" s="3" t="str">
        <f>"307942"</f>
        <v>307942</v>
      </c>
      <c r="B552" s="4" t="str">
        <f>"81983584435"</f>
        <v>81983584435</v>
      </c>
      <c r="C552" t="str">
        <f>"EVERYDAY COUNTER-HOUSEWARMING-47227"</f>
        <v>EVERYDAY COUNTER-HOUSEWARMING-47227</v>
      </c>
      <c r="D552" s="3" t="str">
        <f>"47227"</f>
        <v>47227</v>
      </c>
      <c r="E552" s="3" t="str">
        <f>"ED28E088"</f>
        <v>ED28E088</v>
      </c>
    </row>
    <row r="553" spans="1:5" x14ac:dyDescent="0.25">
      <c r="A553" s="3" t="str">
        <f>"308041"</f>
        <v>308041</v>
      </c>
      <c r="B553" s="4" t="str">
        <f>"81983643064"</f>
        <v>81983643064</v>
      </c>
      <c r="C553" t="str">
        <f>"EVERYDAY COUNTER-PASTOR RETIREMENT-72714"</f>
        <v>EVERYDAY COUNTER-PASTOR RETIREMENT-72714</v>
      </c>
      <c r="D553" s="3" t="str">
        <f>"72714"</f>
        <v>72714</v>
      </c>
      <c r="E553" s="3" t="str">
        <f>"ED28E089"</f>
        <v>ED28E089</v>
      </c>
    </row>
    <row r="554" spans="1:5" x14ac:dyDescent="0.25">
      <c r="A554" s="3" t="str">
        <f>"307924"</f>
        <v>307924</v>
      </c>
      <c r="B554" s="4" t="str">
        <f>"81983612879"</f>
        <v>81983612879</v>
      </c>
      <c r="C554" t="str">
        <f>"EVERYDAY COUNTER-SPIRITUAL OCC-1ST COMMUNION-44438"</f>
        <v>EVERYDAY COUNTER-SPIRITUAL OCC-1ST COMMUNION-44438</v>
      </c>
      <c r="D554" s="3" t="str">
        <f>"44438"</f>
        <v>44438</v>
      </c>
      <c r="E554" s="3" t="str">
        <f>"ED28E090"</f>
        <v>ED28E090</v>
      </c>
    </row>
    <row r="555" spans="1:5" x14ac:dyDescent="0.25">
      <c r="A555" s="3" t="str">
        <f>"308158"</f>
        <v>308158</v>
      </c>
      <c r="B555" s="4" t="str">
        <f>"81983772283"</f>
        <v>81983772283</v>
      </c>
      <c r="C555" t="str">
        <f>"EVERYDAY COUNTER-THANK YOU - FOR ANYONE-J9940"</f>
        <v>EVERYDAY COUNTER-THANK YOU - FOR ANYONE-J9940</v>
      </c>
      <c r="D555" s="3" t="str">
        <f>"J9940"</f>
        <v>J9940</v>
      </c>
      <c r="E555" s="3" t="str">
        <f>"ED28E091"</f>
        <v>ED28E091</v>
      </c>
    </row>
    <row r="556" spans="1:5" x14ac:dyDescent="0.25">
      <c r="A556" s="3" t="str">
        <f>"279639"</f>
        <v>279639</v>
      </c>
      <c r="B556" s="4" t="str">
        <f>"81983757792"</f>
        <v>81983757792</v>
      </c>
      <c r="C556" t="str">
        <f>"EVERYDAY COUNTER-THANK YOU PKG/6-J8227"</f>
        <v>EVERYDAY COUNTER-THANK YOU PKG/6-J8227</v>
      </c>
      <c r="D556" s="3" t="str">
        <f>"J8227"</f>
        <v>J8227</v>
      </c>
      <c r="E556" s="3" t="str">
        <f>"ED28E092"</f>
        <v>ED28E092</v>
      </c>
    </row>
    <row r="557" spans="1:5" x14ac:dyDescent="0.25">
      <c r="A557" s="3" t="str">
        <f>"308465"</f>
        <v>308465</v>
      </c>
      <c r="B557" s="4" t="str">
        <f>"81983721977"</f>
        <v>81983721977</v>
      </c>
      <c r="C557" t="str">
        <f>"EVERYDAY COUNTER-THANK YOU/CONFETTI SHOWERS PKG/6-J3449"</f>
        <v>EVERYDAY COUNTER-THANK YOU/CONFETTI SHOWERS PKG/6-J3449</v>
      </c>
      <c r="D557" s="3" t="str">
        <f>"J3449"</f>
        <v>J3449</v>
      </c>
      <c r="E557" s="3" t="str">
        <f>"ED28E093"</f>
        <v>ED28E093</v>
      </c>
    </row>
    <row r="558" spans="1:5" x14ac:dyDescent="0.25">
      <c r="A558" s="3" t="str">
        <f>"308112"</f>
        <v>308112</v>
      </c>
      <c r="B558" s="4" t="str">
        <f>"81983644306"</f>
        <v>81983644306</v>
      </c>
      <c r="C558" t="str">
        <f>"EVERYDAY COUNTER-BABY SHOWER PKG/6-76487"</f>
        <v>EVERYDAY COUNTER-BABY SHOWER PKG/6-76487</v>
      </c>
      <c r="D558" s="3" t="str">
        <f>"76487"</f>
        <v>76487</v>
      </c>
      <c r="E558" s="3" t="str">
        <f>"ED28E094"</f>
        <v>ED28E094</v>
      </c>
    </row>
    <row r="559" spans="1:5" x14ac:dyDescent="0.25">
      <c r="A559" s="3" t="str">
        <f>"308270"</f>
        <v>308270</v>
      </c>
      <c r="B559" s="4" t="str">
        <f>"81983618406"</f>
        <v>81983618406</v>
      </c>
      <c r="C559" t="str">
        <f>"EVERYDAY COUNTER-CONGRATS-TWINS-55014"</f>
        <v>EVERYDAY COUNTER-CONGRATS-TWINS-55014</v>
      </c>
      <c r="D559" s="3" t="str">
        <f>"55014"</f>
        <v>55014</v>
      </c>
      <c r="E559" s="3" t="str">
        <f>"ED28E095"</f>
        <v>ED28E095</v>
      </c>
    </row>
    <row r="560" spans="1:5" x14ac:dyDescent="0.25">
      <c r="A560" s="3" t="str">
        <f>"308464"</f>
        <v>308464</v>
      </c>
      <c r="B560" s="4" t="str">
        <f>"81983721960"</f>
        <v>81983721960</v>
      </c>
      <c r="C560" t="str">
        <f>"EVERYDAY COUNTER-AS YOU LEAVE/BUTTERFLY AND FLOWERS PKG/6-J3448"</f>
        <v>EVERYDAY COUNTER-AS YOU LEAVE/BUTTERFLY AND FLOWERS PKG/6-J3448</v>
      </c>
      <c r="D560" s="3" t="str">
        <f>"J3448"</f>
        <v>J3448</v>
      </c>
      <c r="E560" s="3" t="str">
        <f>"ED28E096"</f>
        <v>ED28E096</v>
      </c>
    </row>
    <row r="561" spans="1:5" x14ac:dyDescent="0.25">
      <c r="A561" s="3" t="str">
        <f>"345253"</f>
        <v>345253</v>
      </c>
      <c r="B561" s="4" t="str">
        <f>"81983793745"</f>
        <v>81983793745</v>
      </c>
      <c r="C561" t="str">
        <f>"EVERYDAY COUNTER-HOUSEWARMING PKG/6"</f>
        <v>EVERYDAY COUNTER-HOUSEWARMING PKG/6</v>
      </c>
      <c r="D561" s="3" t="str">
        <f>"U2590"</f>
        <v>U2590</v>
      </c>
      <c r="E561" s="3" t="str">
        <f>"ED28E097"</f>
        <v>ED28E097</v>
      </c>
    </row>
    <row r="562" spans="1:5" x14ac:dyDescent="0.25">
      <c r="A562" s="3" t="str">
        <f>"345254"</f>
        <v>345254</v>
      </c>
      <c r="B562" s="4" t="str">
        <f>"81983793752"</f>
        <v>81983793752</v>
      </c>
      <c r="C562" t="str">
        <f>"EVERYDAY COUNTER-RETIREMENT/MASCULINE PKG/6"</f>
        <v>EVERYDAY COUNTER-RETIREMENT/MASCULINE PKG/6</v>
      </c>
      <c r="D562" s="3" t="str">
        <f>"U2591"</f>
        <v>U2591</v>
      </c>
      <c r="E562" s="3" t="str">
        <f>"ED28E098"</f>
        <v>ED28E098</v>
      </c>
    </row>
    <row r="563" spans="1:5" x14ac:dyDescent="0.25">
      <c r="A563" s="3" t="str">
        <f>"308109"</f>
        <v>308109</v>
      </c>
      <c r="B563" s="4" t="str">
        <f>"81983644276"</f>
        <v>81983644276</v>
      </c>
      <c r="C563" t="str">
        <f>"EVERYDAY COUNTER-STEPPING OUT IN FAITH-76484"</f>
        <v>EVERYDAY COUNTER-STEPPING OUT IN FAITH-76484</v>
      </c>
      <c r="D563" s="3" t="str">
        <f>"76484"</f>
        <v>76484</v>
      </c>
      <c r="E563" s="3" t="str">
        <f>"ED28E099"</f>
        <v>ED28E099</v>
      </c>
    </row>
    <row r="564" spans="1:5" x14ac:dyDescent="0.25">
      <c r="A564" s="3" t="str">
        <f>"308227"</f>
        <v>308227</v>
      </c>
      <c r="B564" s="4" t="str">
        <f>"81983677472"</f>
        <v>81983677472</v>
      </c>
      <c r="C564" t="str">
        <f>"EVERYDAY COUNTER-THANK YOU PKG/6-92004"</f>
        <v>EVERYDAY COUNTER-THANK YOU PKG/6-92004</v>
      </c>
      <c r="D564" s="3" t="str">
        <f>"92004"</f>
        <v>92004</v>
      </c>
      <c r="E564" s="3" t="str">
        <f>"ED28E100"</f>
        <v>ED28E100</v>
      </c>
    </row>
    <row r="565" spans="1:5" x14ac:dyDescent="0.25">
      <c r="A565" s="3" t="str">
        <f>"308474"</f>
        <v>308474</v>
      </c>
      <c r="B565" s="4" t="str">
        <f>"81983722059"</f>
        <v>81983722059</v>
      </c>
      <c r="C565" t="str">
        <f>"EVERYDAY COUNTER-THANK YOU/LOOK WHO'S BEEN A BLESSING PKG/6-J3457"</f>
        <v>EVERYDAY COUNTER-THANK YOU/LOOK WHO'S BEEN A BLESSING PKG/6-J3457</v>
      </c>
      <c r="D565" s="3" t="str">
        <f>"J3457"</f>
        <v>J3457</v>
      </c>
      <c r="E565" s="3" t="str">
        <f>"ED28E101"</f>
        <v>ED28E101</v>
      </c>
    </row>
    <row r="566" spans="1:5" x14ac:dyDescent="0.25">
      <c r="A566" s="3" t="str">
        <f>"308471"</f>
        <v>308471</v>
      </c>
      <c r="B566" s="4" t="str">
        <f>"81983722028"</f>
        <v>81983722028</v>
      </c>
      <c r="C566" t="str">
        <f>"EVERYDAY COUNTER-THANK YOU/GIVE AND IT SHALL BE GIVEN PKG/6-J3454"</f>
        <v>EVERYDAY COUNTER-THANK YOU/GIVE AND IT SHALL BE GIVEN PKG/6-J3454</v>
      </c>
      <c r="D566" s="3" t="str">
        <f>"J3454"</f>
        <v>J3454</v>
      </c>
      <c r="E566" s="3" t="str">
        <f>"ED28E102"</f>
        <v>ED28E102</v>
      </c>
    </row>
    <row r="567" spans="1:5" x14ac:dyDescent="0.25">
      <c r="A567" s="3" t="str">
        <f>"279575"</f>
        <v>279575</v>
      </c>
      <c r="B567" s="4" t="str">
        <f>"81983757280"</f>
        <v>81983757280</v>
      </c>
      <c r="C567" t="str">
        <f>"EVERYDAY COUNTER-BABY CONGRATS PKG/6-J8176"</f>
        <v>EVERYDAY COUNTER-BABY CONGRATS PKG/6-J8176</v>
      </c>
      <c r="D567" s="3" t="str">
        <f>"J8176"</f>
        <v>J8176</v>
      </c>
      <c r="E567" s="3" t="str">
        <f>"ED28E103"</f>
        <v>ED28E103</v>
      </c>
    </row>
    <row r="568" spans="1:5" x14ac:dyDescent="0.25">
      <c r="A568" s="3" t="str">
        <f>"307951"</f>
        <v>307951</v>
      </c>
      <c r="B568" s="4" t="str">
        <f>"81983771774"</f>
        <v>81983771774</v>
      </c>
      <c r="C568" t="str">
        <f>"EVERYDAY COUNTER-CONGRATS-MOTHERTOBE-J9889"</f>
        <v>EVERYDAY COUNTER-CONGRATS-MOTHERTOBE-J9889</v>
      </c>
      <c r="D568" s="3" t="str">
        <f>"J9889"</f>
        <v>J9889</v>
      </c>
      <c r="E568" s="3" t="str">
        <f>"ED28E104"</f>
        <v>ED28E104</v>
      </c>
    </row>
    <row r="569" spans="1:5" x14ac:dyDescent="0.25">
      <c r="A569" s="3" t="str">
        <f>"279604"</f>
        <v>279604</v>
      </c>
      <c r="B569" s="4" t="str">
        <f>"81983757518"</f>
        <v>81983757518</v>
      </c>
      <c r="C569" t="str">
        <f>"EVERYDAY COUNTER-SPEC OCC - AS YOU LEAVE PKG/6-J8199"</f>
        <v>EVERYDAY COUNTER-SPEC OCC - AS YOU LEAVE PKG/6-J8199</v>
      </c>
      <c r="D569" s="3" t="str">
        <f>"J8199"</f>
        <v>J8199</v>
      </c>
      <c r="E569" s="3" t="str">
        <f>"ED28E105"</f>
        <v>ED28E105</v>
      </c>
    </row>
    <row r="570" spans="1:5" x14ac:dyDescent="0.25">
      <c r="A570" s="3" t="str">
        <f>"279605"</f>
        <v>279605</v>
      </c>
      <c r="B570" s="4" t="str">
        <f>"81983757525"</f>
        <v>81983757525</v>
      </c>
      <c r="C570" t="str">
        <f>"EVERYDAY COUNTER-SPECIAL OCC-AS YOU MOVE PKG/6-J8200"</f>
        <v>EVERYDAY COUNTER-SPECIAL OCC-AS YOU MOVE PKG/6-J8200</v>
      </c>
      <c r="D570" s="3" t="str">
        <f>"J8200"</f>
        <v>J8200</v>
      </c>
      <c r="E570" s="3" t="str">
        <f>"ED28E106"</f>
        <v>ED28E106</v>
      </c>
    </row>
    <row r="571" spans="1:5" x14ac:dyDescent="0.25">
      <c r="A571" s="3" t="str">
        <f>"308002"</f>
        <v>308002</v>
      </c>
      <c r="B571" s="4" t="str">
        <f>"81983772078"</f>
        <v>81983772078</v>
      </c>
      <c r="C571" t="str">
        <f>"EVERYDAY COUNTER-SPECIAL OCCASION-RETIREMENT-J9919"</f>
        <v>EVERYDAY COUNTER-SPECIAL OCCASION-RETIREMENT-J9919</v>
      </c>
      <c r="D571" s="3" t="str">
        <f>"J9919"</f>
        <v>J9919</v>
      </c>
      <c r="E571" s="3" t="str">
        <f>"ED28E107"</f>
        <v>ED28E107</v>
      </c>
    </row>
    <row r="572" spans="1:5" x14ac:dyDescent="0.25">
      <c r="A572" s="3" t="str">
        <f>"307921"</f>
        <v>307921</v>
      </c>
      <c r="B572" s="4" t="str">
        <f>"81983612831"</f>
        <v>81983612831</v>
      </c>
      <c r="C572" t="str">
        <f>"EVERYDAY COUNTER-SPIRITUAL OCC-STEP IN FAITH-44429"</f>
        <v>EVERYDAY COUNTER-SPIRITUAL OCC-STEP IN FAITH-44429</v>
      </c>
      <c r="D572" s="3" t="str">
        <f>"44429"</f>
        <v>44429</v>
      </c>
      <c r="E572" s="3" t="str">
        <f>"ED28E108"</f>
        <v>ED28E108</v>
      </c>
    </row>
    <row r="573" spans="1:5" x14ac:dyDescent="0.25">
      <c r="A573" s="3" t="str">
        <f>"345265"</f>
        <v>345265</v>
      </c>
      <c r="B573" s="4" t="str">
        <f>"81983793844"</f>
        <v>81983793844</v>
      </c>
      <c r="C573" t="str">
        <f>"EVERYDAY COUNTER-THANK YOU PK/6-U2600"</f>
        <v>EVERYDAY COUNTER-THANK YOU PK/6-U2600</v>
      </c>
      <c r="D573" s="3" t="str">
        <f>"U2600"</f>
        <v>U2600</v>
      </c>
      <c r="E573" s="3" t="str">
        <f>"ED28E109"</f>
        <v>ED28E109</v>
      </c>
    </row>
    <row r="574" spans="1:5" x14ac:dyDescent="0.25">
      <c r="A574" s="3" t="str">
        <f>"308245"</f>
        <v>308245</v>
      </c>
      <c r="B574" s="4" t="str">
        <f>"81983678899"</f>
        <v>81983678899</v>
      </c>
      <c r="C574" t="str">
        <f>"EVERYDAY COUNTER-THANK YOU PKG/6-92186"</f>
        <v>EVERYDAY COUNTER-THANK YOU PKG/6-92186</v>
      </c>
      <c r="D574" s="3" t="str">
        <f>"92186"</f>
        <v>92186</v>
      </c>
      <c r="E574" s="3" t="str">
        <f>"ED28E110"</f>
        <v>ED28E110</v>
      </c>
    </row>
    <row r="575" spans="1:5" x14ac:dyDescent="0.25">
      <c r="A575" s="3" t="str">
        <f>"308440"</f>
        <v>308440</v>
      </c>
      <c r="B575" s="4" t="str">
        <f>"81983721717"</f>
        <v>81983721717</v>
      </c>
      <c r="C575" t="str">
        <f>"EVERYDAY COUNTER-CONGRATS - GIFT CARD HOLDER/GREEN AND GOLD FLORAL PKG/6-J3423"</f>
        <v>EVERYDAY COUNTER-CONGRATS - GIFT CARD HOLDER/GREEN AND GOLD FLORAL PKG/6-J3423</v>
      </c>
      <c r="D575" s="3" t="str">
        <f>"J3423"</f>
        <v>J3423</v>
      </c>
      <c r="E575" s="3" t="str">
        <f>"ED28E111"</f>
        <v>ED28E111</v>
      </c>
    </row>
    <row r="576" spans="1:5" x14ac:dyDescent="0.25">
      <c r="A576" s="3" t="str">
        <f>"308439"</f>
        <v>308439</v>
      </c>
      <c r="B576" s="4" t="str">
        <f>"81983721700"</f>
        <v>81983721700</v>
      </c>
      <c r="C576" t="str">
        <f>"EVERYDAY COUNTER-CONGRATS - GIFT CARD HOLDER/SPECIAL OCCASIONS AND PEOPLE PKG/6-J3422"</f>
        <v>EVERYDAY COUNTER-CONGRATS - GIFT CARD HOLDER/SPECIAL OCCASIONS AND PEOPLE PKG/6-J3422</v>
      </c>
      <c r="D576" s="3" t="str">
        <f>"J3422"</f>
        <v>J3422</v>
      </c>
      <c r="E576" s="3" t="str">
        <f>"ED28E112"</f>
        <v>ED28E112</v>
      </c>
    </row>
    <row r="577" spans="1:5" x14ac:dyDescent="0.25">
      <c r="A577" s="3" t="str">
        <f>"307949"</f>
        <v>307949</v>
      </c>
      <c r="B577" s="4" t="str">
        <f>"81983771767"</f>
        <v>81983771767</v>
      </c>
      <c r="C577" t="str">
        <f>"EVERYDAY COUNTER-CONGRATS-GRANDPARENTS-J9888"</f>
        <v>EVERYDAY COUNTER-CONGRATS-GRANDPARENTS-J9888</v>
      </c>
      <c r="D577" s="3" t="str">
        <f>"J9888"</f>
        <v>J9888</v>
      </c>
      <c r="E577" s="3" t="str">
        <f>"ED28E113"</f>
        <v>ED28E113</v>
      </c>
    </row>
    <row r="578" spans="1:5" x14ac:dyDescent="0.25">
      <c r="A578" s="3" t="str">
        <f>"307940"</f>
        <v>307940</v>
      </c>
      <c r="B578" s="4" t="str">
        <f>"81983584398"</f>
        <v>81983584398</v>
      </c>
      <c r="C578" t="str">
        <f>"EVERYDAY COUNTER-AS YOU LEAVE PKG/6-47221"</f>
        <v>EVERYDAY COUNTER-AS YOU LEAVE PKG/6-47221</v>
      </c>
      <c r="D578" s="3" t="str">
        <f>"47221"</f>
        <v>47221</v>
      </c>
      <c r="E578" s="3" t="str">
        <f>"ED28E114"</f>
        <v>ED28E114</v>
      </c>
    </row>
    <row r="579" spans="1:5" x14ac:dyDescent="0.25">
      <c r="A579" s="3" t="str">
        <f>"308088"</f>
        <v>308088</v>
      </c>
      <c r="B579" s="4" t="str">
        <f>"81983772054"</f>
        <v>81983772054</v>
      </c>
      <c r="C579" t="str">
        <f>"EVERYDAY COUNTER-AS YOU MOVE PKG/6-J9917"</f>
        <v>EVERYDAY COUNTER-AS YOU MOVE PKG/6-J9917</v>
      </c>
      <c r="D579" s="3" t="str">
        <f>"J9917"</f>
        <v>J9917</v>
      </c>
      <c r="E579" s="3" t="str">
        <f>"ED28E115"</f>
        <v>ED28E115</v>
      </c>
    </row>
    <row r="580" spans="1:5" x14ac:dyDescent="0.25">
      <c r="A580" s="3" t="str">
        <f>"307947"</f>
        <v>307947</v>
      </c>
      <c r="B580" s="4" t="str">
        <f>"81983602894"</f>
        <v>81983602894</v>
      </c>
      <c r="C580" t="str">
        <f>"EVERYDAY COUNTER-RETIREMENT-47919"</f>
        <v>EVERYDAY COUNTER-RETIREMENT-47919</v>
      </c>
      <c r="D580" s="3" t="str">
        <f>"47919"</f>
        <v>47919</v>
      </c>
      <c r="E580" s="3" t="str">
        <f>"ED28E116"</f>
        <v>ED28E116</v>
      </c>
    </row>
    <row r="581" spans="1:5" x14ac:dyDescent="0.25">
      <c r="A581" s="3" t="str">
        <f>"308096"</f>
        <v>308096</v>
      </c>
      <c r="B581" s="4" t="str">
        <f>"81983589461"</f>
        <v>81983589461</v>
      </c>
      <c r="C581" t="str">
        <f>"EVERYDAY COUNTER-YOUTH PASTOR APPREC.-75410"</f>
        <v>EVERYDAY COUNTER-YOUTH PASTOR APPREC.-75410</v>
      </c>
      <c r="D581" s="3" t="str">
        <f>"75410"</f>
        <v>75410</v>
      </c>
      <c r="E581" s="3" t="str">
        <f>"ED28E117"</f>
        <v>ED28E117</v>
      </c>
    </row>
    <row r="582" spans="1:5" x14ac:dyDescent="0.25">
      <c r="A582" s="3" t="str">
        <f>"307925"</f>
        <v>307925</v>
      </c>
      <c r="B582" s="4" t="str">
        <f>"81983772108"</f>
        <v>81983772108</v>
      </c>
      <c r="C582" t="str">
        <f>"EVERYDAY COUNTER-BABY BAPTISM PKG/6-J9922"</f>
        <v>EVERYDAY COUNTER-BABY BAPTISM PKG/6-J9922</v>
      </c>
      <c r="D582" s="3" t="str">
        <f>"J9922"</f>
        <v>J9922</v>
      </c>
      <c r="E582" s="3" t="str">
        <f>"ED28F001"</f>
        <v>ED28F001</v>
      </c>
    </row>
    <row r="583" spans="1:5" x14ac:dyDescent="0.25">
      <c r="A583" s="3" t="str">
        <f>"308213"</f>
        <v>308213</v>
      </c>
      <c r="B583" s="4" t="str">
        <f>"81983677359"</f>
        <v>81983677359</v>
      </c>
      <c r="C583" t="str">
        <f>"EVERYDAY COUNTER-FRIENDSHIP PKG/6-91992"</f>
        <v>EVERYDAY COUNTER-FRIENDSHIP PKG/6-91992</v>
      </c>
      <c r="D583" s="3" t="str">
        <f>"91992"</f>
        <v>91992</v>
      </c>
      <c r="E583" s="3" t="str">
        <f>"ED28F002"</f>
        <v>ED28F002</v>
      </c>
    </row>
    <row r="584" spans="1:5" x14ac:dyDescent="0.25">
      <c r="A584" s="3" t="str">
        <f>"298782"</f>
        <v>298782</v>
      </c>
      <c r="B584" s="4" t="str">
        <f>"81983771927"</f>
        <v>81983771927</v>
      </c>
      <c r="C584" t="str">
        <f>"EVERYDAY COUNTER-IN THIS TOGETHER-J9904"</f>
        <v>EVERYDAY COUNTER-IN THIS TOGETHER-J9904</v>
      </c>
      <c r="D584" s="3" t="str">
        <f>"J9904"</f>
        <v>J9904</v>
      </c>
      <c r="E584" s="3" t="str">
        <f>"ED28F003"</f>
        <v>ED28F003</v>
      </c>
    </row>
    <row r="585" spans="1:5" x14ac:dyDescent="0.25">
      <c r="A585" s="3" t="str">
        <f>"345278"</f>
        <v>345278</v>
      </c>
      <c r="B585" s="4" t="str">
        <f>"81983794650"</f>
        <v>81983794650</v>
      </c>
      <c r="C585" t="str">
        <f>"EVERYDAY COUNTER-ENCOURAGEMENT PKG/6-U2684"</f>
        <v>EVERYDAY COUNTER-ENCOURAGEMENT PKG/6-U2684</v>
      </c>
      <c r="D585" s="3" t="s">
        <v>52</v>
      </c>
      <c r="E585" s="3" t="str">
        <f>"ED28F004"</f>
        <v>ED28F004</v>
      </c>
    </row>
    <row r="586" spans="1:5" x14ac:dyDescent="0.25">
      <c r="A586" s="3" t="str">
        <f>"345279"</f>
        <v>345279</v>
      </c>
      <c r="B586" s="4" t="str">
        <f>"81983794667"</f>
        <v>81983794667</v>
      </c>
      <c r="C586" t="str">
        <f>"EVERYDAY COUNTER-ENCOURAGEMENT PKG/6-U2685"</f>
        <v>EVERYDAY COUNTER-ENCOURAGEMENT PKG/6-U2685</v>
      </c>
      <c r="D586" s="3" t="s">
        <v>53</v>
      </c>
      <c r="E586" s="3" t="str">
        <f>"ED28F005"</f>
        <v>ED28F005</v>
      </c>
    </row>
    <row r="587" spans="1:5" x14ac:dyDescent="0.25">
      <c r="A587" s="3" t="str">
        <f>"307997"</f>
        <v>307997</v>
      </c>
      <c r="B587" s="4" t="str">
        <f>"81983771903"</f>
        <v>81983771903</v>
      </c>
      <c r="C587" t="str">
        <f>"EVERYDAY COUNTER-ENC-HOPE (Pk/6)-J9902"</f>
        <v>EVERYDAY COUNTER-ENC-HOPE (Pk/6)-J9902</v>
      </c>
      <c r="D587" s="3" t="str">
        <f>"J9902"</f>
        <v>J9902</v>
      </c>
      <c r="E587" s="3" t="str">
        <f>"ED28F006"</f>
        <v>ED28F006</v>
      </c>
    </row>
    <row r="588" spans="1:5" x14ac:dyDescent="0.25">
      <c r="A588" s="3" t="str">
        <f>"307919"</f>
        <v>307919</v>
      </c>
      <c r="B588" s="4" t="str">
        <f>"81983612794"</f>
        <v>81983612794</v>
      </c>
      <c r="C588" t="str">
        <f>"EVERYDAY COUNTER-ENC-HOPE-44424"</f>
        <v>EVERYDAY COUNTER-ENC-HOPE-44424</v>
      </c>
      <c r="D588" s="3" t="str">
        <f>"44424"</f>
        <v>44424</v>
      </c>
      <c r="E588" s="3" t="str">
        <f>"ED28F007"</f>
        <v>ED28F007</v>
      </c>
    </row>
    <row r="589" spans="1:5" x14ac:dyDescent="0.25">
      <c r="A589" s="3" t="str">
        <f>"307975"</f>
        <v>307975</v>
      </c>
      <c r="B589" s="4" t="str">
        <f>"81983771910"</f>
        <v>81983771910</v>
      </c>
      <c r="C589" t="str">
        <f>"EVERYDAY COUNTER-ENC-HOPE-J9903"</f>
        <v>EVERYDAY COUNTER-ENC-HOPE-J9903</v>
      </c>
      <c r="D589" s="3" t="str">
        <f>"J9903"</f>
        <v>J9903</v>
      </c>
      <c r="E589" s="3" t="str">
        <f>"ED28F008"</f>
        <v>ED28F008</v>
      </c>
    </row>
    <row r="590" spans="1:5" x14ac:dyDescent="0.25">
      <c r="A590" s="3" t="str">
        <f>"279610"</f>
        <v>279610</v>
      </c>
      <c r="B590" s="4" t="str">
        <f>"81983757563"</f>
        <v>81983757563</v>
      </c>
      <c r="C590" t="str">
        <f>"EVERYDAY COUNTER-SPIRITUAL OCC BAPTISM BABY PKG/6-J8204"</f>
        <v>EVERYDAY COUNTER-SPIRITUAL OCC BAPTISM BABY PKG/6-J8204</v>
      </c>
      <c r="D590" s="3" t="str">
        <f>"J8204"</f>
        <v>J8204</v>
      </c>
      <c r="E590" s="3" t="str">
        <f>"ED28F009"</f>
        <v>ED28F009</v>
      </c>
    </row>
    <row r="591" spans="1:5" x14ac:dyDescent="0.25">
      <c r="A591" s="3" t="str">
        <f>"307912"</f>
        <v>307912</v>
      </c>
      <c r="B591" s="4" t="str">
        <f>"81983771965"</f>
        <v>81983771965</v>
      </c>
      <c r="C591" t="str">
        <f>"EVERYDAY COUNTER-FRIENDSHIP-FOR ANYONE-J9908"</f>
        <v>EVERYDAY COUNTER-FRIENDSHIP-FOR ANYONE-J9908</v>
      </c>
      <c r="D591" s="3" t="str">
        <f>"J9908"</f>
        <v>J9908</v>
      </c>
      <c r="E591" s="3" t="str">
        <f>"ED28F010"</f>
        <v>ED28F010</v>
      </c>
    </row>
    <row r="592" spans="1:5" x14ac:dyDescent="0.25">
      <c r="A592" s="3" t="str">
        <f>"307984"</f>
        <v>307984</v>
      </c>
      <c r="B592" s="4" t="str">
        <f>"81983618826"</f>
        <v>81983618826</v>
      </c>
      <c r="C592" t="str">
        <f>"EVERYDAY COUNTER-ENC-IN THIS TOGETHER-55525"</f>
        <v>EVERYDAY COUNTER-ENC-IN THIS TOGETHER-55525</v>
      </c>
      <c r="D592" s="3" t="str">
        <f>"55525"</f>
        <v>55525</v>
      </c>
      <c r="E592" s="3" t="str">
        <f>"ED28F011"</f>
        <v>ED28F011</v>
      </c>
    </row>
    <row r="593" spans="1:5" x14ac:dyDescent="0.25">
      <c r="A593" s="3" t="str">
        <f>"345280"</f>
        <v>345280</v>
      </c>
      <c r="B593" s="4" t="str">
        <f>"81983794674"</f>
        <v>81983794674</v>
      </c>
      <c r="C593" t="str">
        <f>"EVERYDAY COUNTER-ENCOURAGEMENT PKG/6-U2686"</f>
        <v>EVERYDAY COUNTER-ENCOURAGEMENT PKG/6-U2686</v>
      </c>
      <c r="D593" s="3" t="s">
        <v>54</v>
      </c>
      <c r="E593" s="3" t="str">
        <f>"ED28F012"</f>
        <v>ED28F012</v>
      </c>
    </row>
    <row r="594" spans="1:5" x14ac:dyDescent="0.25">
      <c r="A594" s="3" t="str">
        <f>"345281"</f>
        <v>345281</v>
      </c>
      <c r="B594" s="4" t="str">
        <f>"81983794681"</f>
        <v>81983794681</v>
      </c>
      <c r="C594" t="str">
        <f>"EVERYDAY COUNTER-ENCOURAGEMENT PKG/6-U2687"</f>
        <v>EVERYDAY COUNTER-ENCOURAGEMENT PKG/6-U2687</v>
      </c>
      <c r="D594" s="3" t="s">
        <v>55</v>
      </c>
      <c r="E594" s="3" t="str">
        <f>"ED28F013"</f>
        <v>ED28F013</v>
      </c>
    </row>
    <row r="595" spans="1:5" x14ac:dyDescent="0.25">
      <c r="A595" s="3" t="str">
        <f>"307973"</f>
        <v>307973</v>
      </c>
      <c r="B595" s="4" t="str">
        <f>"81983618697"</f>
        <v>81983618697</v>
      </c>
      <c r="C595" t="str">
        <f>"EVERYDAY COUNTER-ENC-HOPE-55202"</f>
        <v>EVERYDAY COUNTER-ENC-HOPE-55202</v>
      </c>
      <c r="D595" s="3" t="str">
        <f>"55202"</f>
        <v>55202</v>
      </c>
      <c r="E595" s="3" t="str">
        <f>"ED28F014"</f>
        <v>ED28F014</v>
      </c>
    </row>
    <row r="596" spans="1:5" x14ac:dyDescent="0.25">
      <c r="A596" s="3" t="str">
        <f>"308023"</f>
        <v>308023</v>
      </c>
      <c r="B596" s="4" t="str">
        <f>"81983589102"</f>
        <v>81983589102</v>
      </c>
      <c r="C596" t="str">
        <f>"EVERYDAY COUNTER-HOPE ENCOURAGEMENT-66658"</f>
        <v>EVERYDAY COUNTER-HOPE ENCOURAGEMENT-66658</v>
      </c>
      <c r="D596" s="3" t="str">
        <f>"66658"</f>
        <v>66658</v>
      </c>
      <c r="E596" s="3" t="str">
        <f>"ED28F015"</f>
        <v>ED28F015</v>
      </c>
    </row>
    <row r="597" spans="1:5" x14ac:dyDescent="0.25">
      <c r="A597" s="3" t="str">
        <f>"308016"</f>
        <v>308016</v>
      </c>
      <c r="B597" s="4" t="str">
        <f>"81983562914"</f>
        <v>81983562914</v>
      </c>
      <c r="C597" t="str">
        <f>"EVERYDAY COUNTER-BUSY MOM ENCOURAGEMENT-66647"</f>
        <v>EVERYDAY COUNTER-BUSY MOM ENCOURAGEMENT-66647</v>
      </c>
      <c r="D597" s="3" t="str">
        <f>"66647"</f>
        <v>66647</v>
      </c>
      <c r="E597" s="3" t="str">
        <f>"ED28F016"</f>
        <v>ED28F016</v>
      </c>
    </row>
    <row r="598" spans="1:5" x14ac:dyDescent="0.25">
      <c r="A598" s="3" t="str">
        <f>"345257"</f>
        <v>345257</v>
      </c>
      <c r="B598" s="4" t="str">
        <f>"81983793776"</f>
        <v>81983793776</v>
      </c>
      <c r="C598" t="str">
        <f>"EVERYDAY COUNTER-BAPTISM BABY PKG/6"</f>
        <v>EVERYDAY COUNTER-BAPTISM BABY PKG/6</v>
      </c>
      <c r="D598" s="3" t="str">
        <f>"U2593"</f>
        <v>U2593</v>
      </c>
      <c r="E598" s="3" t="str">
        <f>"ED28F017"</f>
        <v>ED28F017</v>
      </c>
    </row>
    <row r="599" spans="1:5" x14ac:dyDescent="0.25">
      <c r="A599" s="3" t="str">
        <f>"308243"</f>
        <v>308243</v>
      </c>
      <c r="B599" s="4" t="str">
        <f>"81983678868"</f>
        <v>81983678868</v>
      </c>
      <c r="C599" t="str">
        <f>"EVERYDAY COUNTER-FRIENDSHIP PKG/6-92183"</f>
        <v>EVERYDAY COUNTER-FRIENDSHIP PKG/6-92183</v>
      </c>
      <c r="D599" s="3" t="str">
        <f>"92183"</f>
        <v>92183</v>
      </c>
      <c r="E599" s="3" t="str">
        <f>"ED28F018"</f>
        <v>ED28F018</v>
      </c>
    </row>
    <row r="600" spans="1:5" x14ac:dyDescent="0.25">
      <c r="A600" s="3" t="str">
        <f>"308444"</f>
        <v>308444</v>
      </c>
      <c r="B600" s="4" t="str">
        <f>"81983721793"</f>
        <v>81983721793</v>
      </c>
      <c r="C600" t="str">
        <f>"EVERYDAY COUNTER-IN THIS TOGETHER/SUCCULENTS - GREEN SPARKLE PKG/6-J3431"</f>
        <v>EVERYDAY COUNTER-IN THIS TOGETHER/SUCCULENTS - GREEN SPARKLE PKG/6-J3431</v>
      </c>
      <c r="D600" s="3" t="str">
        <f>"J3431"</f>
        <v>J3431</v>
      </c>
      <c r="E600" s="3" t="str">
        <f>"ED28F019"</f>
        <v>ED28F019</v>
      </c>
    </row>
    <row r="601" spans="1:5" x14ac:dyDescent="0.25">
      <c r="A601" s="3" t="str">
        <f>"345282"</f>
        <v>345282</v>
      </c>
      <c r="B601" s="4" t="str">
        <f>"81983794698"</f>
        <v>81983794698</v>
      </c>
      <c r="C601" t="str">
        <f>"EVERYDAY COUNTER-ENCOURAGEMENT PKG/6-U2688"</f>
        <v>EVERYDAY COUNTER-ENCOURAGEMENT PKG/6-U2688</v>
      </c>
      <c r="D601" s="3" t="s">
        <v>56</v>
      </c>
      <c r="E601" s="3" t="str">
        <f>"ED28F020"</f>
        <v>ED28F020</v>
      </c>
    </row>
    <row r="602" spans="1:5" x14ac:dyDescent="0.25">
      <c r="A602" s="3" t="str">
        <f>"345283"</f>
        <v>345283</v>
      </c>
      <c r="B602" s="4" t="str">
        <f>"81983794704"</f>
        <v>81983794704</v>
      </c>
      <c r="C602" t="str">
        <f>"EVERYDAY COUNTER-ENCOURAGEMENT PKG/6-U2689"</f>
        <v>EVERYDAY COUNTER-ENCOURAGEMENT PKG/6-U2689</v>
      </c>
      <c r="D602" s="3" t="s">
        <v>57</v>
      </c>
      <c r="E602" s="3" t="str">
        <f>"ED28F021"</f>
        <v>ED28F021</v>
      </c>
    </row>
    <row r="603" spans="1:5" x14ac:dyDescent="0.25">
      <c r="A603" s="3" t="str">
        <f>"307939"</f>
        <v>307939</v>
      </c>
      <c r="B603" s="4" t="str">
        <f>"81983771958"</f>
        <v>81983771958</v>
      </c>
      <c r="C603" t="str">
        <f>"EVERYDAY COUNTER-HOPE-J9907"</f>
        <v>EVERYDAY COUNTER-HOPE-J9907</v>
      </c>
      <c r="D603" s="3" t="str">
        <f>"J9907"</f>
        <v>J9907</v>
      </c>
      <c r="E603" s="3" t="str">
        <f>"ED28F022"</f>
        <v>ED28F022</v>
      </c>
    </row>
    <row r="604" spans="1:5" x14ac:dyDescent="0.25">
      <c r="A604" s="3" t="str">
        <f>"345239"</f>
        <v>345239</v>
      </c>
      <c r="B604" s="4" t="str">
        <f>"81983793622"</f>
        <v>81983793622</v>
      </c>
      <c r="C604" t="str">
        <f>"EVERYDAY COUNTER-ENCOURAGEMENT BLANK PKG/6"</f>
        <v>EVERYDAY COUNTER-ENCOURAGEMENT BLANK PKG/6</v>
      </c>
      <c r="D604" s="3" t="str">
        <f>"U2578"</f>
        <v>U2578</v>
      </c>
      <c r="E604" s="3" t="str">
        <f>"ED28F023"</f>
        <v>ED28F023</v>
      </c>
    </row>
    <row r="605" spans="1:5" x14ac:dyDescent="0.25">
      <c r="A605" s="3" t="str">
        <f>"308058"</f>
        <v>308058</v>
      </c>
      <c r="B605" s="4" t="str">
        <f>"81983771811"</f>
        <v>81983771811</v>
      </c>
      <c r="C605" t="str">
        <f>"EVERYDAY COUNTER-ENCOURAGEMENT TO KID-J9893"</f>
        <v>EVERYDAY COUNTER-ENCOURAGEMENT TO KID-J9893</v>
      </c>
      <c r="D605" s="3" t="str">
        <f>"J9893"</f>
        <v>J9893</v>
      </c>
      <c r="E605" s="3" t="str">
        <f>"ED28F024"</f>
        <v>ED28F024</v>
      </c>
    </row>
    <row r="606" spans="1:5" x14ac:dyDescent="0.25">
      <c r="A606" s="3" t="str">
        <f>"298706"</f>
        <v>298706</v>
      </c>
      <c r="B606" s="4" t="str">
        <f>"81983652479"</f>
        <v>81983652479</v>
      </c>
      <c r="C606" t="str">
        <f>"EVERYDAY COUNTER-BAPTISM BABY PKG/6-10285"</f>
        <v>EVERYDAY COUNTER-BAPTISM BABY PKG/6-10285</v>
      </c>
      <c r="D606" s="3" t="str">
        <f>"10285"</f>
        <v>10285</v>
      </c>
      <c r="E606" s="3" t="str">
        <f>"ED28F025"</f>
        <v>ED28F025</v>
      </c>
    </row>
    <row r="607" spans="1:5" x14ac:dyDescent="0.25">
      <c r="A607" s="3" t="str">
        <f>"307964"</f>
        <v>307964</v>
      </c>
      <c r="B607" s="4" t="str">
        <f>"81983618475"</f>
        <v>81983618475</v>
      </c>
      <c r="C607" t="str">
        <f>"EVERYDAY COUNTER-FRIENDSHIP - ANYONE-55105"</f>
        <v>EVERYDAY COUNTER-FRIENDSHIP - ANYONE-55105</v>
      </c>
      <c r="D607" s="3" t="str">
        <f>"55105"</f>
        <v>55105</v>
      </c>
      <c r="E607" s="3" t="str">
        <f>"ED28F026"</f>
        <v>ED28F026</v>
      </c>
    </row>
    <row r="608" spans="1:5" x14ac:dyDescent="0.25">
      <c r="A608" s="3" t="str">
        <f>"307996"</f>
        <v>307996</v>
      </c>
      <c r="B608" s="4" t="str">
        <f>"81983618956"</f>
        <v>81983618956</v>
      </c>
      <c r="C608" t="str">
        <f>"EVERYDAY COUNTER-ENC-I CAN RELATE-55900"</f>
        <v>EVERYDAY COUNTER-ENC-I CAN RELATE-55900</v>
      </c>
      <c r="D608" s="3" t="str">
        <f>"55900"</f>
        <v>55900</v>
      </c>
      <c r="E608" s="3" t="str">
        <f>"ED28F027"</f>
        <v>ED28F027</v>
      </c>
    </row>
    <row r="609" spans="1:5" x14ac:dyDescent="0.25">
      <c r="A609" s="3" t="str">
        <f>"345284"</f>
        <v>345284</v>
      </c>
      <c r="B609" s="4" t="str">
        <f>"81983794711"</f>
        <v>81983794711</v>
      </c>
      <c r="C609" t="str">
        <f>"EVERYDAY COUNTER-ENCOURAGEMENT PKG/6-U2690"</f>
        <v>EVERYDAY COUNTER-ENCOURAGEMENT PKG/6-U2690</v>
      </c>
      <c r="D609" s="3" t="s">
        <v>58</v>
      </c>
      <c r="E609" s="3" t="str">
        <f>"ED28F028"</f>
        <v>ED28F028</v>
      </c>
    </row>
    <row r="610" spans="1:5" x14ac:dyDescent="0.25">
      <c r="A610" s="3" t="str">
        <f>"345285"</f>
        <v>345285</v>
      </c>
      <c r="B610" s="4" t="str">
        <f>"81983794728"</f>
        <v>81983794728</v>
      </c>
      <c r="C610" t="str">
        <f>"EVERYDAY COUNTER-ENCOURAGEMENT PKG/6-U2691"</f>
        <v>EVERYDAY COUNTER-ENCOURAGEMENT PKG/6-U2691</v>
      </c>
      <c r="D610" s="3" t="s">
        <v>59</v>
      </c>
      <c r="E610" s="3" t="str">
        <f>"ED28F029"</f>
        <v>ED28F029</v>
      </c>
    </row>
    <row r="611" spans="1:5" x14ac:dyDescent="0.25">
      <c r="A611" s="3" t="str">
        <f>"308212"</f>
        <v>308212</v>
      </c>
      <c r="B611" s="4" t="str">
        <f>"81983677342"</f>
        <v>81983677342</v>
      </c>
      <c r="C611" t="str">
        <f>"EVERYDAY COUNTER-ENCOURAGE-HOPE PKG/6-91991"</f>
        <v>EVERYDAY COUNTER-ENCOURAGE-HOPE PKG/6-91991</v>
      </c>
      <c r="D611" s="3" t="str">
        <f>"91991"</f>
        <v>91991</v>
      </c>
      <c r="E611" s="3" t="str">
        <f>"ED28F030"</f>
        <v>ED28F030</v>
      </c>
    </row>
    <row r="612" spans="1:5" x14ac:dyDescent="0.25">
      <c r="A612" s="3" t="str">
        <f>"308009"</f>
        <v>308009</v>
      </c>
      <c r="B612" s="4" t="str">
        <f>"81983771828"</f>
        <v>81983771828</v>
      </c>
      <c r="C612" t="str">
        <f>"EVERYDAY COUNTER-ENCOURAGEMENT GENERAL-J9894"</f>
        <v>EVERYDAY COUNTER-ENCOURAGEMENT GENERAL-J9894</v>
      </c>
      <c r="D612" s="3" t="str">
        <f>"J9894"</f>
        <v>J9894</v>
      </c>
      <c r="E612" s="3" t="str">
        <f>"ED28F031"</f>
        <v>ED28F031</v>
      </c>
    </row>
    <row r="613" spans="1:5" x14ac:dyDescent="0.25">
      <c r="A613" s="3" t="str">
        <f>"308060"</f>
        <v>308060</v>
      </c>
      <c r="B613" s="4" t="str">
        <f>"81983643217"</f>
        <v>81983643217</v>
      </c>
      <c r="C613" t="str">
        <f>"EVERYDAY COUNTER-ENCOURAGEMENT TO KID-72813"</f>
        <v>EVERYDAY COUNTER-ENCOURAGEMENT TO KID-72813</v>
      </c>
      <c r="D613" s="3" t="str">
        <f>"72813"</f>
        <v>72813</v>
      </c>
      <c r="E613" s="3" t="str">
        <f>"ED28F032"</f>
        <v>ED28F032</v>
      </c>
    </row>
    <row r="614" spans="1:5" x14ac:dyDescent="0.25">
      <c r="A614" s="3" t="str">
        <f>"279611"</f>
        <v>279611</v>
      </c>
      <c r="B614" s="4" t="str">
        <f>"81983774300"</f>
        <v>81983774300</v>
      </c>
      <c r="C614" t="str">
        <f>"EVERYDAY COUNTER-SPIRIT OCC-BAPTISM YOUTH PKG/6-J8205"</f>
        <v>EVERYDAY COUNTER-SPIRIT OCC-BAPTISM YOUTH PKG/6-J8205</v>
      </c>
      <c r="D614" s="3" t="str">
        <f>"J8205"</f>
        <v>J8205</v>
      </c>
      <c r="E614" s="3" t="str">
        <f>"ED28F033"</f>
        <v>ED28F033</v>
      </c>
    </row>
    <row r="615" spans="1:5" x14ac:dyDescent="0.25">
      <c r="A615" s="3" t="str">
        <f>"345243"</f>
        <v>345243</v>
      </c>
      <c r="B615" s="4" t="str">
        <f>"81983793660"</f>
        <v>81983793660</v>
      </c>
      <c r="C615" t="str">
        <f>"EVERYDAY COUNTER-FRIENDSHIP PKG/6-U2582"</f>
        <v>EVERYDAY COUNTER-FRIENDSHIP PKG/6-U2582</v>
      </c>
      <c r="D615" s="3" t="str">
        <f>"U2582"</f>
        <v>U2582</v>
      </c>
      <c r="E615" s="3" t="str">
        <f>"ED28F034"</f>
        <v>ED28F034</v>
      </c>
    </row>
    <row r="616" spans="1:5" x14ac:dyDescent="0.25">
      <c r="A616" s="3" t="str">
        <f>"308024"</f>
        <v>308024</v>
      </c>
      <c r="B616" s="4" t="str">
        <f>"81983589119"</f>
        <v>81983589119</v>
      </c>
      <c r="C616" t="str">
        <f>"EVERYDAY COUNTER-I CAN RELATE - ENCOURAGEMENT-66659"</f>
        <v>EVERYDAY COUNTER-I CAN RELATE - ENCOURAGEMENT-66659</v>
      </c>
      <c r="D616" s="3" t="str">
        <f>"66659"</f>
        <v>66659</v>
      </c>
      <c r="E616" s="3" t="str">
        <f>"ED28F035"</f>
        <v>ED28F035</v>
      </c>
    </row>
    <row r="617" spans="1:5" x14ac:dyDescent="0.25">
      <c r="A617" s="3" t="str">
        <f>"308013"</f>
        <v>308013</v>
      </c>
      <c r="B617" s="4" t="str">
        <f>"81983621512"</f>
        <v>81983621512</v>
      </c>
      <c r="C617" t="str">
        <f>"EVERYDAY COUNTER-ENCOURAGEMENT &amp; COPE-60339"</f>
        <v>EVERYDAY COUNTER-ENCOURAGEMENT &amp; COPE-60339</v>
      </c>
      <c r="D617" s="3" t="str">
        <f>"60339"</f>
        <v>60339</v>
      </c>
      <c r="E617" s="3" t="str">
        <f>"ED28F036"</f>
        <v>ED28F036</v>
      </c>
    </row>
    <row r="618" spans="1:5" x14ac:dyDescent="0.25">
      <c r="A618" s="3" t="str">
        <f>"308053"</f>
        <v>308053</v>
      </c>
      <c r="B618" s="4" t="str">
        <f>"81983643163"</f>
        <v>81983643163</v>
      </c>
      <c r="C618" t="str">
        <f>"EVERYDAY COUNTER-ENCOURAGEMENT-72804"</f>
        <v>EVERYDAY COUNTER-ENCOURAGEMENT-72804</v>
      </c>
      <c r="D618" s="3" t="str">
        <f>"72804"</f>
        <v>72804</v>
      </c>
      <c r="E618" s="3" t="str">
        <f>"ED28F037"</f>
        <v>ED28F037</v>
      </c>
    </row>
    <row r="619" spans="1:5" x14ac:dyDescent="0.25">
      <c r="A619" s="3" t="str">
        <f>"308052"</f>
        <v>308052</v>
      </c>
      <c r="B619" s="4" t="str">
        <f>"81983773389"</f>
        <v>81983773389</v>
      </c>
      <c r="C619" t="str">
        <f>"EVERYDAY COUNTER-ENCOURAGEMENT-72803"</f>
        <v>EVERYDAY COUNTER-ENCOURAGEMENT-72803</v>
      </c>
      <c r="D619" s="3" t="str">
        <f>"72803"</f>
        <v>72803</v>
      </c>
      <c r="E619" s="3" t="str">
        <f>"ED28F038"</f>
        <v>ED28F038</v>
      </c>
    </row>
    <row r="620" spans="1:5" x14ac:dyDescent="0.25">
      <c r="A620" s="3" t="str">
        <f>"298747"</f>
        <v>298747</v>
      </c>
      <c r="B620" s="4" t="str">
        <f>"81983790676"</f>
        <v>81983790676</v>
      </c>
      <c r="C620" t="str">
        <f>"EVERYDAY COUNTER-ENC-JOB LOSS-11743"</f>
        <v>EVERYDAY COUNTER-ENC-JOB LOSS-11743</v>
      </c>
      <c r="D620" s="3" t="str">
        <f>"11743"</f>
        <v>11743</v>
      </c>
      <c r="E620" s="3" t="str">
        <f>"ED28F039"</f>
        <v>ED28F039</v>
      </c>
    </row>
    <row r="621" spans="1:5" x14ac:dyDescent="0.25">
      <c r="A621" s="3" t="str">
        <f>"308217"</f>
        <v>308217</v>
      </c>
      <c r="B621" s="4" t="str">
        <f>"81983677397"</f>
        <v>81983677397</v>
      </c>
      <c r="C621" t="str">
        <f>"EVERYDAY COUNTER-PRAYING FOR YOU PKG/6-91996"</f>
        <v>EVERYDAY COUNTER-PRAYING FOR YOU PKG/6-91996</v>
      </c>
      <c r="D621" s="3" t="str">
        <f>"91996"</f>
        <v>91996</v>
      </c>
      <c r="E621" s="3" t="str">
        <f>"ED28F040"</f>
        <v>ED28F040</v>
      </c>
    </row>
    <row r="622" spans="1:5" x14ac:dyDescent="0.25">
      <c r="A622" s="3" t="str">
        <f>"308220"</f>
        <v>308220</v>
      </c>
      <c r="B622" s="4" t="str">
        <f>"81983677427"</f>
        <v>81983677427</v>
      </c>
      <c r="C622" t="str">
        <f>"EVERYDAY COUNTER-YOUTH BAPTISM PKG/6-91999"</f>
        <v>EVERYDAY COUNTER-YOUTH BAPTISM PKG/6-91999</v>
      </c>
      <c r="D622" s="3" t="str">
        <f>"91999"</f>
        <v>91999</v>
      </c>
      <c r="E622" s="3" t="str">
        <f>"ED28F041"</f>
        <v>ED28F041</v>
      </c>
    </row>
    <row r="623" spans="1:5" x14ac:dyDescent="0.25">
      <c r="A623" s="3" t="str">
        <f>"307910"</f>
        <v>307910</v>
      </c>
      <c r="B623" s="4" t="str">
        <f>"81983771972"</f>
        <v>81983771972</v>
      </c>
      <c r="C623" t="str">
        <f>"EVERYDAY COUNTER-FRIENDSHIP-FOR ANYONE-J9909"</f>
        <v>EVERYDAY COUNTER-FRIENDSHIP-FOR ANYONE-J9909</v>
      </c>
      <c r="D623" s="3" t="str">
        <f>"J9909"</f>
        <v>J9909</v>
      </c>
      <c r="E623" s="3" t="str">
        <f>"ED28F042"</f>
        <v>ED28F042</v>
      </c>
    </row>
    <row r="624" spans="1:5" x14ac:dyDescent="0.25">
      <c r="A624" s="3" t="str">
        <f>"308000"</f>
        <v>308000</v>
      </c>
      <c r="B624" s="4" t="str">
        <f>"81983618970"</f>
        <v>81983618970</v>
      </c>
      <c r="C624" t="str">
        <f>"EVERYDAY COUNTER-ENC-I CAN RELATE-55902"</f>
        <v>EVERYDAY COUNTER-ENC-I CAN RELATE-55902</v>
      </c>
      <c r="D624" s="3" t="str">
        <f>"55902"</f>
        <v>55902</v>
      </c>
      <c r="E624" s="3" t="str">
        <f>"ED28F043"</f>
        <v>ED28F043</v>
      </c>
    </row>
    <row r="625" spans="1:5" x14ac:dyDescent="0.25">
      <c r="A625" s="3" t="str">
        <f>"308076"</f>
        <v>308076</v>
      </c>
      <c r="B625" s="4" t="str">
        <f>"81983773419"</f>
        <v>81983773419</v>
      </c>
      <c r="C625" t="str">
        <f>"EVERYDAY COUNTER-ENCOURAGEMENT-72900"</f>
        <v>EVERYDAY COUNTER-ENCOURAGEMENT-72900</v>
      </c>
      <c r="D625" s="3" t="str">
        <f>"72900"</f>
        <v>72900</v>
      </c>
      <c r="E625" s="3" t="str">
        <f>"ED28F044"</f>
        <v>ED28F044</v>
      </c>
    </row>
    <row r="626" spans="1:5" x14ac:dyDescent="0.25">
      <c r="A626" s="3" t="str">
        <f>"279588"</f>
        <v>279588</v>
      </c>
      <c r="B626" s="4" t="str">
        <f>"81983757396"</f>
        <v>81983757396</v>
      </c>
      <c r="C626" t="str">
        <f>"EVERYDAY COUNTER-ENCOURAGEMENT PKG/6-J8187"</f>
        <v>EVERYDAY COUNTER-ENCOURAGEMENT PKG/6-J8187</v>
      </c>
      <c r="D626" s="3" t="str">
        <f>"J8187"</f>
        <v>J8187</v>
      </c>
      <c r="E626" s="3" t="str">
        <f>"ED28F045"</f>
        <v>ED28F045</v>
      </c>
    </row>
    <row r="627" spans="1:5" x14ac:dyDescent="0.25">
      <c r="A627" s="3" t="str">
        <f>"308054"</f>
        <v>308054</v>
      </c>
      <c r="B627" s="4" t="str">
        <f>"81983643170"</f>
        <v>81983643170</v>
      </c>
      <c r="C627" t="str">
        <f>"EVERYDAY COUNTER-ENCOURAGEMENT-72805"</f>
        <v>EVERYDAY COUNTER-ENCOURAGEMENT-72805</v>
      </c>
      <c r="D627" s="3" t="str">
        <f>"72805"</f>
        <v>72805</v>
      </c>
      <c r="E627" s="3" t="str">
        <f>"ED28F046"</f>
        <v>ED28F046</v>
      </c>
    </row>
    <row r="628" spans="1:5" x14ac:dyDescent="0.25">
      <c r="A628" s="3" t="str">
        <f>"308026"</f>
        <v>308026</v>
      </c>
      <c r="B628" s="4" t="str">
        <f>"81983563065"</f>
        <v>81983563065</v>
      </c>
      <c r="C628" t="str">
        <f>"EVERYDAY COUNTER-JOB STRESS ENCOURAGEMENT-66662"</f>
        <v>EVERYDAY COUNTER-JOB STRESS ENCOURAGEMENT-66662</v>
      </c>
      <c r="D628" s="3" t="str">
        <f>"66662"</f>
        <v>66662</v>
      </c>
      <c r="E628" s="3" t="str">
        <f>"ED28F047"</f>
        <v>ED28F047</v>
      </c>
    </row>
    <row r="629" spans="1:5" x14ac:dyDescent="0.25">
      <c r="A629" s="3" t="str">
        <f>"298685"</f>
        <v>298685</v>
      </c>
      <c r="B629" s="4" t="str">
        <f>"81983652073"</f>
        <v>81983652073</v>
      </c>
      <c r="C629" t="str">
        <f>"EVERYDAY COUNTER-ENC DIFFICULT TIME PKG/6-10256"</f>
        <v>EVERYDAY COUNTER-ENC DIFFICULT TIME PKG/6-10256</v>
      </c>
      <c r="D629" s="3" t="str">
        <f>"10256"</f>
        <v>10256</v>
      </c>
      <c r="E629" s="3" t="str">
        <f>"ED28F048"</f>
        <v>ED28F048</v>
      </c>
    </row>
    <row r="630" spans="1:5" x14ac:dyDescent="0.25">
      <c r="A630" s="3" t="str">
        <f>"308008"</f>
        <v>308008</v>
      </c>
      <c r="B630" s="4" t="str">
        <f>"81983772115"</f>
        <v>81983772115</v>
      </c>
      <c r="C630" t="str">
        <f>"EVERYDAY COUNTER-YOUTH BAPTISM-J9923"</f>
        <v>EVERYDAY COUNTER-YOUTH BAPTISM-J9923</v>
      </c>
      <c r="D630" s="3" t="str">
        <f>"J9923"</f>
        <v>J9923</v>
      </c>
      <c r="E630" s="3" t="str">
        <f>"ED28F049"</f>
        <v>ED28F049</v>
      </c>
    </row>
    <row r="631" spans="1:5" x14ac:dyDescent="0.25">
      <c r="A631" s="3" t="str">
        <f>"298765"</f>
        <v>298765</v>
      </c>
      <c r="B631" s="4" t="str">
        <f>"81983771989"</f>
        <v>81983771989</v>
      </c>
      <c r="C631" t="str">
        <f>"EVERYDAY COUNTER-FRIENDSHIP-TOY-J9910"</f>
        <v>EVERYDAY COUNTER-FRIENDSHIP-TOY-J9910</v>
      </c>
      <c r="D631" s="3" t="str">
        <f>"J9910"</f>
        <v>J9910</v>
      </c>
      <c r="E631" s="3" t="str">
        <f>"ED28F050"</f>
        <v>ED28F050</v>
      </c>
    </row>
    <row r="632" spans="1:5" x14ac:dyDescent="0.25">
      <c r="A632" s="3" t="str">
        <f>"307906"</f>
        <v>307906</v>
      </c>
      <c r="B632" s="4" t="str">
        <f>"81983612619"</f>
        <v>81983612619</v>
      </c>
      <c r="C632" t="str">
        <f>"EVERYDAY COUNTER-ENC-I CAN RELATE-44153"</f>
        <v>EVERYDAY COUNTER-ENC-I CAN RELATE-44153</v>
      </c>
      <c r="D632" s="3" t="str">
        <f>"44153"</f>
        <v>44153</v>
      </c>
      <c r="E632" s="3" t="str">
        <f>"ED28F051"</f>
        <v>ED28F051</v>
      </c>
    </row>
    <row r="633" spans="1:5" x14ac:dyDescent="0.25">
      <c r="A633" s="3" t="str">
        <f>"308055"</f>
        <v>308055</v>
      </c>
      <c r="B633" s="4" t="str">
        <f>"81983643187"</f>
        <v>81983643187</v>
      </c>
      <c r="C633" t="str">
        <f>"EVERYDAY COUNTER-ENCOURAGEMENT-72806"</f>
        <v>EVERYDAY COUNTER-ENCOURAGEMENT-72806</v>
      </c>
      <c r="D633" s="3" t="str">
        <f>"72806"</f>
        <v>72806</v>
      </c>
      <c r="E633" s="3" t="str">
        <f>"ED28F052"</f>
        <v>ED28F052</v>
      </c>
    </row>
    <row r="634" spans="1:5" x14ac:dyDescent="0.25">
      <c r="A634" s="3" t="str">
        <f>"307953"</f>
        <v>307953</v>
      </c>
      <c r="B634" s="4" t="str">
        <f>"81983618154"</f>
        <v>81983618154</v>
      </c>
      <c r="C634" t="str">
        <f>"EVERYDAY COUNTER-ENCOURAGEMENT - ANYONE-52030"</f>
        <v>EVERYDAY COUNTER-ENCOURAGEMENT - ANYONE-52030</v>
      </c>
      <c r="D634" s="3" t="str">
        <f>"52030"</f>
        <v>52030</v>
      </c>
      <c r="E634" s="3" t="str">
        <f>"ED28F053"</f>
        <v>ED28F053</v>
      </c>
    </row>
    <row r="635" spans="1:5" x14ac:dyDescent="0.25">
      <c r="A635" s="3" t="str">
        <f>"345241"</f>
        <v>345241</v>
      </c>
      <c r="B635" s="4" t="str">
        <f>"81983793646"</f>
        <v>81983793646</v>
      </c>
      <c r="C635" t="str">
        <f>"EVERYDAY COUNTER-ENCOURAGEMENT PKG/6-U2580"</f>
        <v>EVERYDAY COUNTER-ENCOURAGEMENT PKG/6-U2580</v>
      </c>
      <c r="D635" s="3" t="str">
        <f>"U2580"</f>
        <v>U2580</v>
      </c>
      <c r="E635" s="3" t="str">
        <f>"ED28F054"</f>
        <v>ED28F054</v>
      </c>
    </row>
    <row r="636" spans="1:5" x14ac:dyDescent="0.25">
      <c r="A636" s="3" t="str">
        <f>"307907"</f>
        <v>307907</v>
      </c>
      <c r="B636" s="4" t="str">
        <f>"81983612626"</f>
        <v>81983612626</v>
      </c>
      <c r="C636" t="str">
        <f>"EVERYDAY COUNTER-ENCOURAGEMENT - DIFFICULT RELATION SHIP-44163"</f>
        <v>EVERYDAY COUNTER-ENCOURAGEMENT - DIFFICULT RELATION SHIP-44163</v>
      </c>
      <c r="D636" s="3" t="str">
        <f>"44163"</f>
        <v>44163</v>
      </c>
      <c r="E636" s="3" t="str">
        <f>"ED28F055"</f>
        <v>ED28F055</v>
      </c>
    </row>
    <row r="637" spans="1:5" x14ac:dyDescent="0.25">
      <c r="A637" s="3" t="str">
        <f>"308443"</f>
        <v>308443</v>
      </c>
      <c r="B637" s="4" t="str">
        <f>"81983721755"</f>
        <v>81983721755</v>
      </c>
      <c r="C637" t="str">
        <f>"EVERYDAY COUNTER-DIFFICULT TIME/NOTHING ABOUT WHAT YOU'RE GOING THROUGH PKG/6-J3427"</f>
        <v>EVERYDAY COUNTER-DIFFICULT TIME/NOTHING ABOUT WHAT YOU'RE GOING THROUGH PKG/6-J3427</v>
      </c>
      <c r="D637" s="3" t="str">
        <f>"J3427"</f>
        <v>J3427</v>
      </c>
      <c r="E637" s="3" t="str">
        <f>"ED28F056"</f>
        <v>ED28F056</v>
      </c>
    </row>
    <row r="638" spans="1:5" x14ac:dyDescent="0.25">
      <c r="A638" s="3" t="str">
        <f>"298699"</f>
        <v>298699</v>
      </c>
      <c r="B638" s="4" t="str">
        <f>"81983652349"</f>
        <v>81983652349</v>
      </c>
      <c r="C638" t="str">
        <f>"EVERYDAY COUNTER-BABY SPECIAL DAY PKG/6-10277"</f>
        <v>EVERYDAY COUNTER-BABY SPECIAL DAY PKG/6-10277</v>
      </c>
      <c r="D638" s="3" t="str">
        <f>"10277"</f>
        <v>10277</v>
      </c>
      <c r="E638" s="3" t="str">
        <f>"ED28F057"</f>
        <v>ED28F057</v>
      </c>
    </row>
    <row r="639" spans="1:5" x14ac:dyDescent="0.25">
      <c r="A639" s="3" t="str">
        <f>"308038"</f>
        <v>308038</v>
      </c>
      <c r="B639" s="4" t="str">
        <f>"81983643033"</f>
        <v>81983643033</v>
      </c>
      <c r="C639" t="str">
        <f>"EVERYDAY COUNTER-FRIENDSHIP-72708"</f>
        <v>EVERYDAY COUNTER-FRIENDSHIP-72708</v>
      </c>
      <c r="D639" s="3" t="str">
        <f>"72708"</f>
        <v>72708</v>
      </c>
      <c r="E639" s="3" t="str">
        <f>"ED28F058"</f>
        <v>ED28F058</v>
      </c>
    </row>
    <row r="640" spans="1:5" x14ac:dyDescent="0.25">
      <c r="A640" s="3" t="str">
        <f>"307899"</f>
        <v>307899</v>
      </c>
      <c r="B640" s="4" t="str">
        <f>"81983612541"</f>
        <v>81983612541</v>
      </c>
      <c r="C640" t="str">
        <f>"EVERYDAY COUNTER-ENC-SMILE-44145"</f>
        <v>EVERYDAY COUNTER-ENC-SMILE-44145</v>
      </c>
      <c r="D640" s="3" t="str">
        <f>"44145"</f>
        <v>44145</v>
      </c>
      <c r="E640" s="3" t="str">
        <f>"ED28F059"</f>
        <v>ED28F059</v>
      </c>
    </row>
    <row r="641" spans="1:5" x14ac:dyDescent="0.25">
      <c r="A641" s="3" t="str">
        <f>"307898"</f>
        <v>307898</v>
      </c>
      <c r="B641" s="4" t="str">
        <f>"81983771880"</f>
        <v>81983771880</v>
      </c>
      <c r="C641" t="str">
        <f>"EVERYDAY COUNTER-ENC-FOR ANYONE (Pk/6)-J9900"</f>
        <v>EVERYDAY COUNTER-ENC-FOR ANYONE (Pk/6)-J9900</v>
      </c>
      <c r="D641" s="3" t="str">
        <f>"J9900"</f>
        <v>J9900</v>
      </c>
      <c r="E641" s="3" t="str">
        <f>"ED28F060"</f>
        <v>ED28F060</v>
      </c>
    </row>
    <row r="642" spans="1:5" x14ac:dyDescent="0.25">
      <c r="A642" s="3" t="str">
        <f>"307916"</f>
        <v>307916</v>
      </c>
      <c r="B642" s="4" t="str">
        <f>"81983612725"</f>
        <v>81983612725</v>
      </c>
      <c r="C642" t="str">
        <f>"EVERYDAY COUNTER-ENCOURAGEMENT - ANYONE-44416"</f>
        <v>EVERYDAY COUNTER-ENCOURAGEMENT - ANYONE-44416</v>
      </c>
      <c r="D642" s="3" t="str">
        <f>"44416"</f>
        <v>44416</v>
      </c>
      <c r="E642" s="3" t="str">
        <f>"ED28F061"</f>
        <v>ED28F061</v>
      </c>
    </row>
    <row r="643" spans="1:5" x14ac:dyDescent="0.25">
      <c r="A643" s="3" t="str">
        <f>"298750"</f>
        <v>298750</v>
      </c>
      <c r="B643" s="4" t="str">
        <f>"81983771897"</f>
        <v>81983771897</v>
      </c>
      <c r="C643" t="str">
        <f>"EVERYDAY COUNTER-ENC-FOR ANYONE-J9901"</f>
        <v>EVERYDAY COUNTER-ENC-FOR ANYONE-J9901</v>
      </c>
      <c r="D643" s="3" t="str">
        <f>"J9901"</f>
        <v>J9901</v>
      </c>
      <c r="E643" s="3" t="str">
        <f>"ED28F062"</f>
        <v>ED28F062</v>
      </c>
    </row>
    <row r="644" spans="1:5" x14ac:dyDescent="0.25">
      <c r="A644" s="3" t="str">
        <f>"308020"</f>
        <v>308020</v>
      </c>
      <c r="B644" s="4" t="str">
        <f>"81983562952"</f>
        <v>81983562952</v>
      </c>
      <c r="C644" t="str">
        <f>"EVERYDAY COUNTER-DIFFICULT RELATIONSHIP-66651"</f>
        <v>EVERYDAY COUNTER-DIFFICULT RELATIONSHIP-66651</v>
      </c>
      <c r="D644" s="3" t="str">
        <f>"66651"</f>
        <v>66651</v>
      </c>
      <c r="E644" s="3" t="str">
        <f>"ED28F063"</f>
        <v>ED28F063</v>
      </c>
    </row>
    <row r="645" spans="1:5" x14ac:dyDescent="0.25">
      <c r="A645" s="3" t="str">
        <f>"298684"</f>
        <v>298684</v>
      </c>
      <c r="B645" s="4" t="str">
        <f>"81983652066"</f>
        <v>81983652066</v>
      </c>
      <c r="C645" t="str">
        <f>"EVERYDAY COUNTER-ENC DIFFICULT TIME PKG/6-10255"</f>
        <v>EVERYDAY COUNTER-ENC DIFFICULT TIME PKG/6-10255</v>
      </c>
      <c r="D645" s="3" t="str">
        <f>"10255"</f>
        <v>10255</v>
      </c>
      <c r="E645" s="3" t="str">
        <f>"ED28F064"</f>
        <v>ED28F064</v>
      </c>
    </row>
    <row r="646" spans="1:5" x14ac:dyDescent="0.25">
      <c r="A646" s="3" t="str">
        <f>"307943"</f>
        <v>307943</v>
      </c>
      <c r="B646" s="4" t="str">
        <f>"81983772085"</f>
        <v>81983772085</v>
      </c>
      <c r="C646" t="str">
        <f>"EVERYDAY COUNTER-BABY SPECIAL DAY-J9920"</f>
        <v>EVERYDAY COUNTER-BABY SPECIAL DAY-J9920</v>
      </c>
      <c r="D646" s="3" t="str">
        <f>"J9920"</f>
        <v>J9920</v>
      </c>
      <c r="E646" s="3" t="str">
        <f>"ED28F065"</f>
        <v>ED28F065</v>
      </c>
    </row>
    <row r="647" spans="1:5" x14ac:dyDescent="0.25">
      <c r="A647" s="3" t="str">
        <f>"308039"</f>
        <v>308039</v>
      </c>
      <c r="B647" s="4" t="str">
        <f>"81983643057"</f>
        <v>81983643057</v>
      </c>
      <c r="C647" t="str">
        <f>"EVERYDAY COUNTER-FRIENDSHIP-72713"</f>
        <v>EVERYDAY COUNTER-FRIENDSHIP-72713</v>
      </c>
      <c r="D647" s="3" t="str">
        <f>"72713"</f>
        <v>72713</v>
      </c>
      <c r="E647" s="3" t="str">
        <f>"ED28F066"</f>
        <v>ED28F066</v>
      </c>
    </row>
    <row r="648" spans="1:5" x14ac:dyDescent="0.25">
      <c r="A648" s="3" t="str">
        <f>"279590"</f>
        <v>279590</v>
      </c>
      <c r="B648" s="4" t="str">
        <f>"81983757419"</f>
        <v>81983757419</v>
      </c>
      <c r="C648" t="str">
        <f>"EVERYDAY COUNTER-ENCOURAGEMENT - SMILE PKG/6-J8189"</f>
        <v>EVERYDAY COUNTER-ENCOURAGEMENT - SMILE PKG/6-J8189</v>
      </c>
      <c r="D648" s="3" t="str">
        <f>"J8189"</f>
        <v>J8189</v>
      </c>
      <c r="E648" s="3" t="str">
        <f>"ED28F067"</f>
        <v>ED28F067</v>
      </c>
    </row>
    <row r="649" spans="1:5" x14ac:dyDescent="0.25">
      <c r="A649" s="3" t="str">
        <f>"308047"</f>
        <v>308047</v>
      </c>
      <c r="B649" s="4" t="str">
        <f>"81983643125"</f>
        <v>81983643125</v>
      </c>
      <c r="C649" t="str">
        <f>"EVERYDAY COUNTER-ENCOURAGEMENT-72721"</f>
        <v>EVERYDAY COUNTER-ENCOURAGEMENT-72721</v>
      </c>
      <c r="D649" s="3" t="str">
        <f>"72721"</f>
        <v>72721</v>
      </c>
      <c r="E649" s="3" t="str">
        <f>"ED28F068"</f>
        <v>ED28F068</v>
      </c>
    </row>
    <row r="650" spans="1:5" x14ac:dyDescent="0.25">
      <c r="A650" s="3" t="str">
        <f>"308036"</f>
        <v>308036</v>
      </c>
      <c r="B650" s="4" t="str">
        <f>"81983643026"</f>
        <v>81983643026</v>
      </c>
      <c r="C650" t="str">
        <f>"EVERYDAY COUNTER-ENCOURAGEMENT-72707"</f>
        <v>EVERYDAY COUNTER-ENCOURAGEMENT-72707</v>
      </c>
      <c r="D650" s="3" t="str">
        <f>"72707"</f>
        <v>72707</v>
      </c>
      <c r="E650" s="3" t="str">
        <f>"ED28F069"</f>
        <v>ED28F069</v>
      </c>
    </row>
    <row r="651" spans="1:5" x14ac:dyDescent="0.25">
      <c r="A651" s="3" t="str">
        <f>"308268"</f>
        <v>308268</v>
      </c>
      <c r="B651" s="4" t="str">
        <f>"81983612787"</f>
        <v>81983612787</v>
      </c>
      <c r="C651" t="str">
        <f>"EVERYDAY COUNTER-ENC-MAKE A DIFFERENCE-44423"</f>
        <v>EVERYDAY COUNTER-ENC-MAKE A DIFFERENCE-44423</v>
      </c>
      <c r="D651" s="3" t="str">
        <f>"44423"</f>
        <v>44423</v>
      </c>
      <c r="E651" s="3" t="str">
        <f>"ED28F070"</f>
        <v>ED28F070</v>
      </c>
    </row>
    <row r="652" spans="1:5" x14ac:dyDescent="0.25">
      <c r="A652" s="3" t="str">
        <f>"308442"</f>
        <v>308442</v>
      </c>
      <c r="B652" s="4" t="str">
        <f>"81983721748"</f>
        <v>81983721748</v>
      </c>
      <c r="C652" t="str">
        <f>"EVERYDAY COUNTER-ENC- DIFFICULT RELATIONSHIP/COFFEE PKG/6-J3426"</f>
        <v>EVERYDAY COUNTER-ENC- DIFFICULT RELATIONSHIP/COFFEE PKG/6-J3426</v>
      </c>
      <c r="D652" s="3" t="str">
        <f>"J3426"</f>
        <v>J3426</v>
      </c>
      <c r="E652" s="3" t="str">
        <f>"ED28F071"</f>
        <v>ED28F071</v>
      </c>
    </row>
    <row r="653" spans="1:5" x14ac:dyDescent="0.25">
      <c r="A653" s="3" t="str">
        <f>"279583"</f>
        <v>279583</v>
      </c>
      <c r="B653" s="4" t="str">
        <f>"81983757358"</f>
        <v>81983757358</v>
      </c>
      <c r="C653" t="str">
        <f>"EVERYDAY COUNTER-ENCOURAGEMENT - DIFFICULT TIME PKG/6-J8183"</f>
        <v>EVERYDAY COUNTER-ENCOURAGEMENT - DIFFICULT TIME PKG/6-J8183</v>
      </c>
      <c r="D653" s="3" t="str">
        <f>"J8183"</f>
        <v>J8183</v>
      </c>
      <c r="E653" s="3" t="str">
        <f>"ED28F072"</f>
        <v>ED28F072</v>
      </c>
    </row>
    <row r="654" spans="1:5" x14ac:dyDescent="0.25">
      <c r="A654" s="3" t="str">
        <f>"308262"</f>
        <v>308262</v>
      </c>
      <c r="B654" s="4" t="str">
        <f>"81983679094"</f>
        <v>81983679094</v>
      </c>
      <c r="C654" t="str">
        <f>"EVERYDAY COUNTER-BABY DEDICATION - GN PKG/6-92299"</f>
        <v>EVERYDAY COUNTER-BABY DEDICATION - GN PKG/6-92299</v>
      </c>
      <c r="D654" s="3" t="str">
        <f>"92299"</f>
        <v>92299</v>
      </c>
      <c r="E654" s="3" t="str">
        <f>"ED28F073"</f>
        <v>ED28F073</v>
      </c>
    </row>
    <row r="655" spans="1:5" x14ac:dyDescent="0.25">
      <c r="A655" s="3" t="str">
        <f>"279591"</f>
        <v>279591</v>
      </c>
      <c r="B655" s="4" t="str">
        <f>"81983757426"</f>
        <v>81983757426</v>
      </c>
      <c r="C655" t="str">
        <f>"EVERYDAY COUNTER-FRIENDSHIP PKG/6-J8190"</f>
        <v>EVERYDAY COUNTER-FRIENDSHIP PKG/6-J8190</v>
      </c>
      <c r="D655" s="3" t="str">
        <f>"J8190"</f>
        <v>J8190</v>
      </c>
      <c r="E655" s="3" t="str">
        <f>"ED28F074"</f>
        <v>ED28F074</v>
      </c>
    </row>
    <row r="656" spans="1:5" x14ac:dyDescent="0.25">
      <c r="A656" s="3" t="str">
        <f>"307976"</f>
        <v>307976</v>
      </c>
      <c r="B656" s="4" t="str">
        <f>"81983618727"</f>
        <v>81983618727</v>
      </c>
      <c r="C656" t="str">
        <f>"EVERYDAY COUNTER-ENC-SMILE-55205"</f>
        <v>EVERYDAY COUNTER-ENC-SMILE-55205</v>
      </c>
      <c r="D656" s="3" t="str">
        <f>"55205"</f>
        <v>55205</v>
      </c>
      <c r="E656" s="3" t="str">
        <f>"ED28F075"</f>
        <v>ED28F075</v>
      </c>
    </row>
    <row r="657" spans="1:5" x14ac:dyDescent="0.25">
      <c r="A657" s="3" t="str">
        <f>"401608"</f>
        <v>401608</v>
      </c>
      <c r="B657" s="4" t="str">
        <f>"81983612534"</f>
        <v>81983612534</v>
      </c>
      <c r="C657" t="str">
        <f>"EVERYDAY COUNTER-ENCOURAGEMENT - FOR ANYONE-44144"</f>
        <v>EVERYDAY COUNTER-ENCOURAGEMENT - FOR ANYONE-44144</v>
      </c>
      <c r="D657" s="3" t="str">
        <f>"44144"</f>
        <v>44144</v>
      </c>
      <c r="E657" s="3" t="str">
        <f>"ED28F076"</f>
        <v>ED28F076</v>
      </c>
    </row>
    <row r="658" spans="1:5" x14ac:dyDescent="0.25">
      <c r="A658" s="3" t="str">
        <f>"345242"</f>
        <v>345242</v>
      </c>
      <c r="B658" s="4" t="str">
        <f>"81983793653"</f>
        <v>81983793653</v>
      </c>
      <c r="C658" t="str">
        <f>"EVERYDAY COUNTER-ENCOURAGEMENT PKG/6-U2581"</f>
        <v>EVERYDAY COUNTER-ENCOURAGEMENT PKG/6-U2581</v>
      </c>
      <c r="D658" s="3" t="str">
        <f>"U2581"</f>
        <v>U2581</v>
      </c>
      <c r="E658" s="3" t="str">
        <f>"ED28F077"</f>
        <v>ED28F077</v>
      </c>
    </row>
    <row r="659" spans="1:5" x14ac:dyDescent="0.25">
      <c r="A659" s="3" t="str">
        <f>"307986"</f>
        <v>307986</v>
      </c>
      <c r="B659" s="4" t="str">
        <f>"81983771934"</f>
        <v>81983771934</v>
      </c>
      <c r="C659" t="str">
        <f>"EVERYDAY COUNTER-ENC-YOU MAKE A DIFFERENCE-J9905"</f>
        <v>EVERYDAY COUNTER-ENC-YOU MAKE A DIFFERENCE-J9905</v>
      </c>
      <c r="D659" s="3" t="str">
        <f>"J9905"</f>
        <v>J9905</v>
      </c>
      <c r="E659" s="3" t="str">
        <f>"ED28F078"</f>
        <v>ED28F078</v>
      </c>
    </row>
    <row r="660" spans="1:5" x14ac:dyDescent="0.25">
      <c r="A660" s="3" t="str">
        <f>"298751"</f>
        <v>298751</v>
      </c>
      <c r="B660" s="4" t="str">
        <f>"81983751752"</f>
        <v>81983751752</v>
      </c>
      <c r="C660" t="str">
        <f>"EVERYDAY COUNTER-ENC-DIVORCE-11748"</f>
        <v>EVERYDAY COUNTER-ENC-DIVORCE-11748</v>
      </c>
      <c r="D660" s="3" t="str">
        <f>"11748"</f>
        <v>11748</v>
      </c>
      <c r="E660" s="3" t="str">
        <f>"ED28F079"</f>
        <v>ED28F079</v>
      </c>
    </row>
    <row r="661" spans="1:5" x14ac:dyDescent="0.25">
      <c r="A661" s="3" t="str">
        <f>"298746"</f>
        <v>298746</v>
      </c>
      <c r="B661" s="4" t="str">
        <f>"81983593437"</f>
        <v>81983593437</v>
      </c>
      <c r="C661" t="str">
        <f>"EVERYDAY COUNTER-ENC-DIFF REL SPOUSE-11740"</f>
        <v>EVERYDAY COUNTER-ENC-DIFF REL SPOUSE-11740</v>
      </c>
      <c r="D661" s="3" t="str">
        <f>"11740"</f>
        <v>11740</v>
      </c>
      <c r="E661" s="3" t="str">
        <f>"ED28F080"</f>
        <v>ED28F080</v>
      </c>
    </row>
    <row r="662" spans="1:5" x14ac:dyDescent="0.25">
      <c r="A662" s="3" t="str">
        <f>"307905"</f>
        <v>307905</v>
      </c>
      <c r="B662" s="4" t="str">
        <f>"81983612602"</f>
        <v>81983612602</v>
      </c>
      <c r="C662" t="str">
        <f>"EVERYDAY COUNTER-ENC-DEPRESSION-44152"</f>
        <v>EVERYDAY COUNTER-ENC-DEPRESSION-44152</v>
      </c>
      <c r="D662" s="3" t="str">
        <f>"44152"</f>
        <v>44152</v>
      </c>
      <c r="E662" s="3" t="str">
        <f>"ED28F081"</f>
        <v>ED28F081</v>
      </c>
    </row>
    <row r="663" spans="1:5" x14ac:dyDescent="0.25">
      <c r="A663" s="3" t="str">
        <f>"298727"</f>
        <v>298727</v>
      </c>
      <c r="B663" s="4" t="str">
        <f>"81983678271"</f>
        <v>81983678271</v>
      </c>
      <c r="C663" t="str">
        <f>"EVERYDAY COUNTER-SPIRIT OCC-BABY DEDICATION-11523"</f>
        <v>EVERYDAY COUNTER-SPIRIT OCC-BABY DEDICATION-11523</v>
      </c>
      <c r="D663" s="3" t="str">
        <f>"11523"</f>
        <v>11523</v>
      </c>
      <c r="E663" s="3" t="str">
        <f>"ED28F082"</f>
        <v>ED28F082</v>
      </c>
    </row>
    <row r="664" spans="1:5" x14ac:dyDescent="0.25">
      <c r="A664" s="3" t="str">
        <f>"307911"</f>
        <v>307911</v>
      </c>
      <c r="B664" s="4" t="str">
        <f>"81983612671"</f>
        <v>81983612671</v>
      </c>
      <c r="C664" t="str">
        <f>"EVERYDAY COUNTER-FRIENDSHIP-FOR ANYONE-44370"</f>
        <v>EVERYDAY COUNTER-FRIENDSHIP-FOR ANYONE-44370</v>
      </c>
      <c r="D664" s="3" t="str">
        <f>"44370"</f>
        <v>44370</v>
      </c>
      <c r="E664" s="3" t="str">
        <f>"ED28F083"</f>
        <v>ED28F083</v>
      </c>
    </row>
    <row r="665" spans="1:5" x14ac:dyDescent="0.25">
      <c r="A665" s="3" t="str">
        <f>"307991"</f>
        <v>307991</v>
      </c>
      <c r="B665" s="4" t="str">
        <f>"81983618895"</f>
        <v>81983618895</v>
      </c>
      <c r="C665" t="str">
        <f>"EVERYDAY COUNTER-ENC-SMILE-55606"</f>
        <v>EVERYDAY COUNTER-ENC-SMILE-55606</v>
      </c>
      <c r="D665" s="3" t="str">
        <f>"55606"</f>
        <v>55606</v>
      </c>
      <c r="E665" s="3" t="str">
        <f>"ED28F084"</f>
        <v>ED28F084</v>
      </c>
    </row>
    <row r="666" spans="1:5" x14ac:dyDescent="0.25">
      <c r="A666" s="3" t="str">
        <f>"307977"</f>
        <v>307977</v>
      </c>
      <c r="B666" s="4" t="str">
        <f>"81983771873"</f>
        <v>81983771873</v>
      </c>
      <c r="C666" t="str">
        <f>"EVERYDAY COUNTER-ENC-FOR ANYONE (Pk/6)-J9899"</f>
        <v>EVERYDAY COUNTER-ENC-FOR ANYONE (Pk/6)-J9899</v>
      </c>
      <c r="D666" s="3" t="str">
        <f>"J9899"</f>
        <v>J9899</v>
      </c>
      <c r="E666" s="3" t="str">
        <f>"ED28F085"</f>
        <v>ED28F085</v>
      </c>
    </row>
    <row r="667" spans="1:5" x14ac:dyDescent="0.25">
      <c r="A667" s="3" t="str">
        <f>"307982"</f>
        <v>307982</v>
      </c>
      <c r="B667" s="4" t="str">
        <f>"81983618796"</f>
        <v>81983618796</v>
      </c>
      <c r="C667" t="str">
        <f>"EVERYDAY COUNTER-ENCOURAGEMENT FOR ANYONE-55404"</f>
        <v>EVERYDAY COUNTER-ENCOURAGEMENT FOR ANYONE-55404</v>
      </c>
      <c r="D667" s="3" t="str">
        <f>"55404"</f>
        <v>55404</v>
      </c>
      <c r="E667" s="3" t="str">
        <f>"ED28F086"</f>
        <v>ED28F086</v>
      </c>
    </row>
    <row r="668" spans="1:5" x14ac:dyDescent="0.25">
      <c r="A668" s="3" t="str">
        <f>"307935"</f>
        <v>307935</v>
      </c>
      <c r="B668" s="4" t="str">
        <f>"81983583162"</f>
        <v>81983583162</v>
      </c>
      <c r="C668" t="str">
        <f>"EVERYDAY COUNTER-YOU MAKE A DIFFERENCE-46791"</f>
        <v>EVERYDAY COUNTER-YOU MAKE A DIFFERENCE-46791</v>
      </c>
      <c r="D668" s="3" t="str">
        <f>"46791"</f>
        <v>46791</v>
      </c>
      <c r="E668" s="3" t="str">
        <f>"ED28F087"</f>
        <v>ED28F087</v>
      </c>
    </row>
    <row r="669" spans="1:5" x14ac:dyDescent="0.25">
      <c r="A669" s="3" t="str">
        <f>"307903"</f>
        <v>307903</v>
      </c>
      <c r="B669" s="4" t="str">
        <f>"81983612596"</f>
        <v>81983612596</v>
      </c>
      <c r="C669" t="str">
        <f>"EVERYDAY COUNTER-ENCOURAGEMENT - DIVORCE/SEPARATION-44150"</f>
        <v>EVERYDAY COUNTER-ENCOURAGEMENT - DIVORCE/SEPARATION-44150</v>
      </c>
      <c r="D669" s="3" t="str">
        <f>"44150"</f>
        <v>44150</v>
      </c>
      <c r="E669" s="3" t="str">
        <f>"ED28F088"</f>
        <v>ED28F088</v>
      </c>
    </row>
    <row r="670" spans="1:5" x14ac:dyDescent="0.25">
      <c r="A670" s="3" t="str">
        <f>"308441"</f>
        <v>308441</v>
      </c>
      <c r="B670" s="4" t="str">
        <f>"81983721731"</f>
        <v>81983721731</v>
      </c>
      <c r="C670" t="str">
        <f>"EVERYDAY COUNTER-ENC- COPING WITH CANCER/GOD KNOWS PKG/6-J3425"</f>
        <v>EVERYDAY COUNTER-ENC- COPING WITH CANCER/GOD KNOWS PKG/6-J3425</v>
      </c>
      <c r="D670" s="3" t="str">
        <f>"J3425"</f>
        <v>J3425</v>
      </c>
      <c r="E670" s="3" t="str">
        <f>"ED28F089"</f>
        <v>ED28F089</v>
      </c>
    </row>
    <row r="671" spans="1:5" x14ac:dyDescent="0.25">
      <c r="A671" s="3" t="str">
        <f>"279582"</f>
        <v>279582</v>
      </c>
      <c r="B671" s="4" t="str">
        <f>"81983757341"</f>
        <v>81983757341</v>
      </c>
      <c r="C671" t="str">
        <f>"EVERYDAY COUNTER-ENCOURAGEMENT - DEPRESSION PKG/6-J8182"</f>
        <v>EVERYDAY COUNTER-ENCOURAGEMENT - DEPRESSION PKG/6-J8182</v>
      </c>
      <c r="D671" s="3" t="str">
        <f>"J8182"</f>
        <v>J8182</v>
      </c>
      <c r="E671" s="3" t="str">
        <f>"ED28F090"</f>
        <v>ED28F090</v>
      </c>
    </row>
    <row r="672" spans="1:5" x14ac:dyDescent="0.25">
      <c r="A672" s="3" t="str">
        <f>"307920"</f>
        <v>307920</v>
      </c>
      <c r="B672" s="4" t="str">
        <f>"81983612824"</f>
        <v>81983612824</v>
      </c>
      <c r="C672" t="str">
        <f>"EVERYDAY COUNTER-SPIRITUAL OCC-BABY-44427"</f>
        <v>EVERYDAY COUNTER-SPIRITUAL OCC-BABY-44427</v>
      </c>
      <c r="D672" s="3" t="str">
        <f>"44427"</f>
        <v>44427</v>
      </c>
      <c r="E672" s="3" t="str">
        <f>"ED28F091"</f>
        <v>ED28F091</v>
      </c>
    </row>
    <row r="673" spans="1:5" x14ac:dyDescent="0.25">
      <c r="A673" s="3" t="str">
        <f>"307914"</f>
        <v>307914</v>
      </c>
      <c r="B673" s="4" t="str">
        <f>"81983612701"</f>
        <v>81983612701</v>
      </c>
      <c r="C673" t="str">
        <f>"EVERYDAY COUNTER-FRIENDSHIP - ANYONE-44401"</f>
        <v>EVERYDAY COUNTER-FRIENDSHIP - ANYONE-44401</v>
      </c>
      <c r="D673" s="3" t="str">
        <f>"44401"</f>
        <v>44401</v>
      </c>
      <c r="E673" s="3" t="str">
        <f>"ED28F092"</f>
        <v>ED28F092</v>
      </c>
    </row>
    <row r="674" spans="1:5" x14ac:dyDescent="0.25">
      <c r="A674" s="3" t="str">
        <f>"308214"</f>
        <v>308214</v>
      </c>
      <c r="B674" s="4" t="str">
        <f>"81983677366"</f>
        <v>81983677366</v>
      </c>
      <c r="C674" t="str">
        <f>"EVERYDAY COUNTER-FRIENDSHIP-MISS YOU PKG/6-91993"</f>
        <v>EVERYDAY COUNTER-FRIENDSHIP-MISS YOU PKG/6-91993</v>
      </c>
      <c r="D674" s="3" t="str">
        <f>"91993"</f>
        <v>91993</v>
      </c>
      <c r="E674" s="3" t="str">
        <f>"ED28F093"</f>
        <v>ED28F093</v>
      </c>
    </row>
    <row r="675" spans="1:5" x14ac:dyDescent="0.25">
      <c r="A675" s="3" t="str">
        <f>"307985"</f>
        <v>307985</v>
      </c>
      <c r="B675" s="4" t="str">
        <f>"81983618833"</f>
        <v>81983618833</v>
      </c>
      <c r="C675" t="str">
        <f>"EVERYDAY COUNTER-ENCOURAGEMENT FOR ANYONE-55526"</f>
        <v>EVERYDAY COUNTER-ENCOURAGEMENT FOR ANYONE-55526</v>
      </c>
      <c r="D675" s="3" t="str">
        <f>"55526"</f>
        <v>55526</v>
      </c>
      <c r="E675" s="3" t="str">
        <f>"ED28F094"</f>
        <v>ED28F094</v>
      </c>
    </row>
    <row r="676" spans="1:5" x14ac:dyDescent="0.25">
      <c r="A676" s="3" t="str">
        <f>"308048"</f>
        <v>308048</v>
      </c>
      <c r="B676" s="4" t="str">
        <f>"81983773402"</f>
        <v>81983773402</v>
      </c>
      <c r="C676" t="str">
        <f>"EVERYDAY COUNTER-ENCOURAGEMENT-72801"</f>
        <v>EVERYDAY COUNTER-ENCOURAGEMENT-72801</v>
      </c>
      <c r="D676" s="3" t="str">
        <f>"72801"</f>
        <v>72801</v>
      </c>
      <c r="E676" s="3" t="str">
        <f>"ED28F095"</f>
        <v>ED28F095</v>
      </c>
    </row>
    <row r="677" spans="1:5" x14ac:dyDescent="0.25">
      <c r="A677" s="3" t="str">
        <f>"307980"</f>
        <v>307980</v>
      </c>
      <c r="B677" s="4" t="str">
        <f>"81983618789"</f>
        <v>81983618789</v>
      </c>
      <c r="C677" t="str">
        <f>"EVERYDAY COUNTER-ENC-YOU MAKE A DIFFERENCE-55403"</f>
        <v>EVERYDAY COUNTER-ENC-YOU MAKE A DIFFERENCE-55403</v>
      </c>
      <c r="D677" s="3" t="str">
        <f>"55403"</f>
        <v>55403</v>
      </c>
      <c r="E677" s="3" t="str">
        <f>"ED28F096"</f>
        <v>ED28F096</v>
      </c>
    </row>
    <row r="678" spans="1:5" x14ac:dyDescent="0.25">
      <c r="A678" s="3" t="str">
        <f>"279584"</f>
        <v>279584</v>
      </c>
      <c r="B678" s="4" t="str">
        <f>"81983757365"</f>
        <v>81983757365</v>
      </c>
      <c r="C678" t="str">
        <f>"EVERYDAY COUNTER-ENCOURAGEMENT - DIVORCE PKG/6-J8184"</f>
        <v>EVERYDAY COUNTER-ENCOURAGEMENT - DIVORCE PKG/6-J8184</v>
      </c>
      <c r="D678" s="3" t="str">
        <f>"J8184"</f>
        <v>J8184</v>
      </c>
      <c r="E678" s="3" t="str">
        <f>"ED28F097"</f>
        <v>ED28F097</v>
      </c>
    </row>
    <row r="679" spans="1:5" x14ac:dyDescent="0.25">
      <c r="A679" s="3" t="str">
        <f>"345240"</f>
        <v>345240</v>
      </c>
      <c r="B679" s="4" t="str">
        <f>"81983793639"</f>
        <v>81983793639</v>
      </c>
      <c r="C679" t="str">
        <f>"EVERYDAY COUNTER-ENCOURAGEMENT CANCER PKG/6"</f>
        <v>EVERYDAY COUNTER-ENCOURAGEMENT CANCER PKG/6</v>
      </c>
      <c r="D679" s="3" t="str">
        <f>"U2579"</f>
        <v>U2579</v>
      </c>
      <c r="E679" s="3" t="str">
        <f>"ED28F098"</f>
        <v>ED28F098</v>
      </c>
    </row>
    <row r="680" spans="1:5" x14ac:dyDescent="0.25">
      <c r="A680" s="3" t="str">
        <f>"308019"</f>
        <v>308019</v>
      </c>
      <c r="B680" s="4" t="str">
        <f>"81983771859"</f>
        <v>81983771859</v>
      </c>
      <c r="C680" t="str">
        <f>"EVERYDAY COUNTER-DEPRESSION ENCOURAGEMENT-J9897"</f>
        <v>EVERYDAY COUNTER-DEPRESSION ENCOURAGEMENT-J9897</v>
      </c>
      <c r="D680" s="3" t="str">
        <f>"J9897"</f>
        <v>J9897</v>
      </c>
      <c r="E680" s="3" t="str">
        <f>"ED28F099"</f>
        <v>ED28F099</v>
      </c>
    </row>
    <row r="681" spans="1:5" x14ac:dyDescent="0.25">
      <c r="A681" s="3" t="str">
        <f>"308092"</f>
        <v>308092</v>
      </c>
      <c r="B681" s="4" t="str">
        <f>"81983567933"</f>
        <v>81983567933</v>
      </c>
      <c r="C681" t="str">
        <f>"EVERYDAY COUNTER-JUBILEE-75322"</f>
        <v>EVERYDAY COUNTER-JUBILEE-75322</v>
      </c>
      <c r="D681" s="3" t="str">
        <f>"75322"</f>
        <v>75322</v>
      </c>
      <c r="E681" s="3" t="str">
        <f>"ED28F100"</f>
        <v>ED28F100</v>
      </c>
    </row>
    <row r="682" spans="1:5" x14ac:dyDescent="0.25">
      <c r="A682" s="3" t="str">
        <f>"308486"</f>
        <v>308486</v>
      </c>
      <c r="B682" s="4" t="str">
        <f>"81983722288"</f>
        <v>81983722288</v>
      </c>
      <c r="C682" t="str">
        <f>"EVERYDAY COUNTER-WITNESS/TABLE AND CHAIRS PKG/6-J3480"</f>
        <v>EVERYDAY COUNTER-WITNESS/TABLE AND CHAIRS PKG/6-J3480</v>
      </c>
      <c r="D682" s="3" t="str">
        <f>"J3480"</f>
        <v>J3480</v>
      </c>
      <c r="E682" s="3" t="str">
        <f>"ED28F101"</f>
        <v>ED28F101</v>
      </c>
    </row>
    <row r="683" spans="1:5" x14ac:dyDescent="0.25">
      <c r="A683" s="3" t="str">
        <f>"307915"</f>
        <v>307915</v>
      </c>
      <c r="B683" s="4" t="str">
        <f>"81983612718"</f>
        <v>81983612718</v>
      </c>
      <c r="C683" t="str">
        <f>"EVERYDAY COUNTER-FRIENDSHIP-MISS YOU-44412"</f>
        <v>EVERYDAY COUNTER-FRIENDSHIP-MISS YOU-44412</v>
      </c>
      <c r="D683" s="3" t="str">
        <f>"44412"</f>
        <v>44412</v>
      </c>
      <c r="E683" s="3" t="str">
        <f>"ED28F102"</f>
        <v>ED28F102</v>
      </c>
    </row>
    <row r="684" spans="1:5" x14ac:dyDescent="0.25">
      <c r="A684" s="3" t="str">
        <f>"308050"</f>
        <v>308050</v>
      </c>
      <c r="B684" s="4" t="str">
        <f>"81983773396"</f>
        <v>81983773396</v>
      </c>
      <c r="C684" t="str">
        <f>"EVERYDAY COUNTER-ENCOURAGEMENT-72802"</f>
        <v>EVERYDAY COUNTER-ENCOURAGEMENT-72802</v>
      </c>
      <c r="D684" s="3" t="str">
        <f>"72802"</f>
        <v>72802</v>
      </c>
      <c r="E684" s="3" t="str">
        <f>"ED28F103"</f>
        <v>ED28F103</v>
      </c>
    </row>
    <row r="685" spans="1:5" x14ac:dyDescent="0.25">
      <c r="A685" s="3" t="str">
        <f>"307952"</f>
        <v>307952</v>
      </c>
      <c r="B685" s="4" t="str">
        <f>"81983618147"</f>
        <v>81983618147</v>
      </c>
      <c r="C685" t="str">
        <f>"EVERYDAY COUNTER-ENCOURAGEMENT FOR ANYONE-52029"</f>
        <v>EVERYDAY COUNTER-ENCOURAGEMENT FOR ANYONE-52029</v>
      </c>
      <c r="D685" s="3" t="str">
        <f>"52029"</f>
        <v>52029</v>
      </c>
      <c r="E685" s="3" t="str">
        <f>"ED28F104"</f>
        <v>ED28F104</v>
      </c>
    </row>
    <row r="686" spans="1:5" x14ac:dyDescent="0.25">
      <c r="A686" s="3" t="str">
        <f>"307902"</f>
        <v>307902</v>
      </c>
      <c r="B686" s="4" t="str">
        <f>"81983771941"</f>
        <v>81983771941</v>
      </c>
      <c r="C686" t="str">
        <f>"EVERYDAY COUNTER-ENC-MAKE A DIFF-J9906"</f>
        <v>EVERYDAY COUNTER-ENC-MAKE A DIFF-J9906</v>
      </c>
      <c r="D686" s="3" t="str">
        <f>"J9906"</f>
        <v>J9906</v>
      </c>
      <c r="E686" s="3" t="str">
        <f>"ED28F105"</f>
        <v>ED28F105</v>
      </c>
    </row>
    <row r="687" spans="1:5" x14ac:dyDescent="0.25">
      <c r="A687" s="3" t="str">
        <f>"279581"</f>
        <v>279581</v>
      </c>
      <c r="B687" s="4" t="str">
        <f>"81983773372"</f>
        <v>81983773372</v>
      </c>
      <c r="C687" t="str">
        <f>"EVERYDAY COUNTER-ENCOURAGEMENT - CAREGIVER PKG/6-J8181"</f>
        <v>EVERYDAY COUNTER-ENCOURAGEMENT - CAREGIVER PKG/6-J8181</v>
      </c>
      <c r="D687" s="3" t="str">
        <f>"J8181"</f>
        <v>J8181</v>
      </c>
      <c r="E687" s="3" t="str">
        <f>"ED28F106"</f>
        <v>ED28F106</v>
      </c>
    </row>
    <row r="688" spans="1:5" x14ac:dyDescent="0.25">
      <c r="A688" s="3" t="str">
        <f>"307934"</f>
        <v>307934</v>
      </c>
      <c r="B688" s="4" t="str">
        <f>"81983771835"</f>
        <v>81983771835</v>
      </c>
      <c r="C688" t="str">
        <f>"EVERYDAY COUNTER-CANCER - GENDER NEUTRAL-J9895"</f>
        <v>EVERYDAY COUNTER-CANCER - GENDER NEUTRAL-J9895</v>
      </c>
      <c r="D688" s="3" t="str">
        <f>"J9895"</f>
        <v>J9895</v>
      </c>
      <c r="E688" s="3" t="str">
        <f>"ED28F107"</f>
        <v>ED28F107</v>
      </c>
    </row>
    <row r="689" spans="1:5" x14ac:dyDescent="0.25">
      <c r="A689" s="3" t="str">
        <f>"307966"</f>
        <v>307966</v>
      </c>
      <c r="B689" s="4" t="str">
        <f>"81983678554"</f>
        <v>81983678554</v>
      </c>
      <c r="C689" t="str">
        <f>"EVERYDAY COUNTER-ENC-SERIOUSILLNESS-55107"</f>
        <v>EVERYDAY COUNTER-ENC-SERIOUSILLNESS-55107</v>
      </c>
      <c r="D689" s="3" t="str">
        <f>"55107"</f>
        <v>55107</v>
      </c>
      <c r="E689" s="3" t="str">
        <f>"ED28F108"</f>
        <v>ED28F108</v>
      </c>
    </row>
    <row r="690" spans="1:5" x14ac:dyDescent="0.25">
      <c r="A690" s="3" t="str">
        <f>"298722"</f>
        <v>298722</v>
      </c>
      <c r="B690" s="4" t="str">
        <f>"81983592850"</f>
        <v>81983592850</v>
      </c>
      <c r="C690" t="str">
        <f>"EVERYDAY COUNTER-SPIRIT OCC-WELCOME-11515"</f>
        <v>EVERYDAY COUNTER-SPIRIT OCC-WELCOME-11515</v>
      </c>
      <c r="D690" s="3" t="str">
        <f>"11515"</f>
        <v>11515</v>
      </c>
      <c r="E690" s="3" t="str">
        <f>"ED28F109"</f>
        <v>ED28F109</v>
      </c>
    </row>
    <row r="691" spans="1:5" x14ac:dyDescent="0.25">
      <c r="A691" s="3" t="str">
        <f>"308091"</f>
        <v>308091</v>
      </c>
      <c r="B691" s="4" t="str">
        <f>"81983772122"</f>
        <v>81983772122</v>
      </c>
      <c r="C691" t="str">
        <f>"EVERYDAY COUNTER-CHURCH FAMILY WELCOME-J9924"</f>
        <v>EVERYDAY COUNTER-CHURCH FAMILY WELCOME-J9924</v>
      </c>
      <c r="D691" s="3" t="str">
        <f>"J9924"</f>
        <v>J9924</v>
      </c>
      <c r="E691" s="3" t="str">
        <f>"ED28F110"</f>
        <v>ED28F110</v>
      </c>
    </row>
    <row r="692" spans="1:5" x14ac:dyDescent="0.25">
      <c r="A692" s="3" t="str">
        <f>"307992"</f>
        <v>307992</v>
      </c>
      <c r="B692" s="4" t="str">
        <f>"81983618901"</f>
        <v>81983618901</v>
      </c>
      <c r="C692" t="str">
        <f>"EVERYDAY COUNTER-FRIENDSHIP-GOODBYE-55607"</f>
        <v>EVERYDAY COUNTER-FRIENDSHIP-GOODBYE-55607</v>
      </c>
      <c r="D692" s="3" t="str">
        <f>"55607"</f>
        <v>55607</v>
      </c>
      <c r="E692" s="3" t="str">
        <f>"ED28F111"</f>
        <v>ED28F111</v>
      </c>
    </row>
    <row r="693" spans="1:5" x14ac:dyDescent="0.25">
      <c r="A693" s="3" t="str">
        <f>"308215"</f>
        <v>308215</v>
      </c>
      <c r="B693" s="4" t="str">
        <f>"81983677373"</f>
        <v>81983677373</v>
      </c>
      <c r="C693" t="str">
        <f>"EVERYDAY COUNTER-FRIENDSHIP-GOODBYE PKG/6-91994"</f>
        <v>EVERYDAY COUNTER-FRIENDSHIP-GOODBYE PKG/6-91994</v>
      </c>
      <c r="D693" s="3" t="str">
        <f>"91994"</f>
        <v>91994</v>
      </c>
      <c r="E693" s="3" t="str">
        <f>"ED28F112"</f>
        <v>ED28F112</v>
      </c>
    </row>
    <row r="694" spans="1:5" x14ac:dyDescent="0.25">
      <c r="A694" s="3" t="str">
        <f>"307900"</f>
        <v>307900</v>
      </c>
      <c r="B694" s="4" t="str">
        <f>"81983612558"</f>
        <v>81983612558</v>
      </c>
      <c r="C694" t="str">
        <f>"EVERYDAY COUNTER-ENC-TRANSITION-44146"</f>
        <v>EVERYDAY COUNTER-ENC-TRANSITION-44146</v>
      </c>
      <c r="D694" s="3" t="str">
        <f>"44146"</f>
        <v>44146</v>
      </c>
      <c r="E694" s="3" t="str">
        <f>"ED28F113"</f>
        <v>ED28F113</v>
      </c>
    </row>
    <row r="695" spans="1:5" x14ac:dyDescent="0.25">
      <c r="A695" s="3" t="str">
        <f>"307896"</f>
        <v>307896</v>
      </c>
      <c r="B695" s="4" t="str">
        <f>"81983612510"</f>
        <v>81983612510</v>
      </c>
      <c r="C695" t="str">
        <f>"EVERYDAY COUNTER-ENC-TRANSITION-44142"</f>
        <v>EVERYDAY COUNTER-ENC-TRANSITION-44142</v>
      </c>
      <c r="D695" s="3" t="str">
        <f>"44142"</f>
        <v>44142</v>
      </c>
      <c r="E695" s="3" t="str">
        <f>"ED28F114"</f>
        <v>ED28F114</v>
      </c>
    </row>
    <row r="696" spans="1:5" x14ac:dyDescent="0.25">
      <c r="A696" s="3" t="str">
        <f>"298752"</f>
        <v>298752</v>
      </c>
      <c r="B696" s="4" t="str">
        <f>"81983788727"</f>
        <v>81983788727</v>
      </c>
      <c r="C696" t="str">
        <f>"EVERYDAY COUNTER-ENC-CAREGIVERS-11750"</f>
        <v>EVERYDAY COUNTER-ENC-CAREGIVERS-11750</v>
      </c>
      <c r="D696" s="3" t="str">
        <f>"11750"</f>
        <v>11750</v>
      </c>
      <c r="E696" s="3" t="str">
        <f>"ED28F115"</f>
        <v>ED28F115</v>
      </c>
    </row>
    <row r="697" spans="1:5" x14ac:dyDescent="0.25">
      <c r="A697" s="3" t="str">
        <f>"279589"</f>
        <v>279589</v>
      </c>
      <c r="B697" s="4" t="str">
        <f>"81983757402"</f>
        <v>81983757402</v>
      </c>
      <c r="C697" t="str">
        <f>"EVERYDAY COUNTER-ENCOURAGEMENT - SERIOUS ILLNES PKG/6-J8188"</f>
        <v>EVERYDAY COUNTER-ENCOURAGEMENT - SERIOUS ILLNES PKG/6-J8188</v>
      </c>
      <c r="D697" s="3" t="str">
        <f>"J8188"</f>
        <v>J8188</v>
      </c>
      <c r="E697" s="3" t="str">
        <f>"ED28F116"</f>
        <v>ED28F116</v>
      </c>
    </row>
    <row r="698" spans="1:5" x14ac:dyDescent="0.25">
      <c r="A698" s="3" t="str">
        <f>"308267"</f>
        <v>308267</v>
      </c>
      <c r="B698" s="4" t="str">
        <f>"81983612589"</f>
        <v>81983612589</v>
      </c>
      <c r="C698" t="str">
        <f>"EVERYDAY COUNTER-ENC-SERIOUS ILLNESS-44149"</f>
        <v>EVERYDAY COUNTER-ENC-SERIOUS ILLNESS-44149</v>
      </c>
      <c r="D698" s="3" t="str">
        <f>"44149"</f>
        <v>44149</v>
      </c>
      <c r="E698" s="3" t="str">
        <f>"ED28F117"</f>
        <v>ED28F117</v>
      </c>
    </row>
    <row r="699" spans="1:5" x14ac:dyDescent="0.25">
      <c r="A699" s="3" t="str">
        <f>"307937"</f>
        <v>307937</v>
      </c>
      <c r="B699" s="4" t="str">
        <f>"81983603808"</f>
        <v>81983603808</v>
      </c>
      <c r="C699" t="str">
        <f>"EVERYDAY COUNTER-PRAYING FOR YOU-46821"</f>
        <v>EVERYDAY COUNTER-PRAYING FOR YOU-46821</v>
      </c>
      <c r="D699" s="3" t="str">
        <f>"46821"</f>
        <v>46821</v>
      </c>
      <c r="E699" s="3" t="str">
        <f>"ED28G001"</f>
        <v>ED28G001</v>
      </c>
    </row>
    <row r="700" spans="1:5" x14ac:dyDescent="0.25">
      <c r="A700" s="3" t="str">
        <f>"298719"</f>
        <v>298719</v>
      </c>
      <c r="B700" s="4" t="str">
        <f>"81983771996"</f>
        <v>81983771996</v>
      </c>
      <c r="C700" t="str">
        <f>"EVERYDAY COUNTER-GET WELL-CHILD-J9911"</f>
        <v>EVERYDAY COUNTER-GET WELL-CHILD-J9911</v>
      </c>
      <c r="D700" s="3" t="str">
        <f>"J9911"</f>
        <v>J9911</v>
      </c>
      <c r="E700" s="3" t="str">
        <f>"ED28G002"</f>
        <v>ED28G002</v>
      </c>
    </row>
    <row r="701" spans="1:5" x14ac:dyDescent="0.25">
      <c r="A701" s="3" t="str">
        <f>"279593"</f>
        <v>279593</v>
      </c>
      <c r="B701" s="4" t="str">
        <f>"81983757440"</f>
        <v>81983757440</v>
      </c>
      <c r="C701" t="str">
        <f>"EVERYDAY COUNTER-GET WELL PKG/6-J8192"</f>
        <v>EVERYDAY COUNTER-GET WELL PKG/6-J8192</v>
      </c>
      <c r="D701" s="3" t="str">
        <f>"J8192"</f>
        <v>J8192</v>
      </c>
      <c r="E701" s="3" t="str">
        <f>"ED28G003"</f>
        <v>ED28G003</v>
      </c>
    </row>
    <row r="702" spans="1:5" x14ac:dyDescent="0.25">
      <c r="A702" s="3" t="str">
        <f>"308432"</f>
        <v>308432</v>
      </c>
      <c r="B702" s="4" t="str">
        <f>"81983720574"</f>
        <v>81983720574</v>
      </c>
      <c r="C702" t="str">
        <f>"EVERYDAY COUNTER-HL - SYMPATHY/CACTUS PKG/6-J3303"</f>
        <v>EVERYDAY COUNTER-HL - SYMPATHY/CACTUS PKG/6-J3303</v>
      </c>
      <c r="D702" s="3" t="str">
        <f>"J3303"</f>
        <v>J3303</v>
      </c>
      <c r="E702" s="3" t="str">
        <f>"ED28G004"</f>
        <v>ED28G004</v>
      </c>
    </row>
    <row r="703" spans="1:5" x14ac:dyDescent="0.25">
      <c r="A703" s="3" t="str">
        <f>"308427"</f>
        <v>308427</v>
      </c>
      <c r="B703" s="4" t="str">
        <f>"81983720529"</f>
        <v>81983720529</v>
      </c>
      <c r="C703" t="str">
        <f>"EVERYDAY COUNTER-HL - SYMPATHY LOSS OF MOM/PURPLE FLOWERS PKG/6-J3298"</f>
        <v>EVERYDAY COUNTER-HL - SYMPATHY LOSS OF MOM/PURPLE FLOWERS PKG/6-J3298</v>
      </c>
      <c r="D703" s="3" t="str">
        <f>"J3298"</f>
        <v>J3298</v>
      </c>
      <c r="E703" s="3" t="str">
        <f>"ED28G005"</f>
        <v>ED28G005</v>
      </c>
    </row>
    <row r="704" spans="1:5" x14ac:dyDescent="0.25">
      <c r="A704" s="3" t="str">
        <f>"308011"</f>
        <v>308011</v>
      </c>
      <c r="B704" s="4" t="str">
        <f>"81983678592"</f>
        <v>81983678592</v>
      </c>
      <c r="C704" t="str">
        <f>"EVERYDAY COUNTER-SYMPATHY ANYONE-60335"</f>
        <v>EVERYDAY COUNTER-SYMPATHY ANYONE-60335</v>
      </c>
      <c r="D704" s="3" t="str">
        <f>"60335"</f>
        <v>60335</v>
      </c>
      <c r="E704" s="3" t="str">
        <f>"ED28G006"</f>
        <v>ED28G006</v>
      </c>
    </row>
    <row r="705" spans="1:5" x14ac:dyDescent="0.25">
      <c r="A705" s="3" t="str">
        <f>"279621"</f>
        <v>279621</v>
      </c>
      <c r="B705" s="4" t="str">
        <f>"81983757655"</f>
        <v>81983757655</v>
      </c>
      <c r="C705" t="str">
        <f>"EVERYDAY COUNTER-SYMPATHY PKG/6-J8213"</f>
        <v>EVERYDAY COUNTER-SYMPATHY PKG/6-J8213</v>
      </c>
      <c r="D705" s="3" t="str">
        <f>"J8213"</f>
        <v>J8213</v>
      </c>
      <c r="E705" s="3" t="str">
        <f>"ED28G007"</f>
        <v>ED28G007</v>
      </c>
    </row>
    <row r="706" spans="1:5" x14ac:dyDescent="0.25">
      <c r="A706" s="3" t="str">
        <f>"298812"</f>
        <v>298812</v>
      </c>
      <c r="B706" s="4" t="str">
        <f>"81983603075"</f>
        <v>81983603075</v>
      </c>
      <c r="C706" t="str">
        <f>"EVERYDAY COUNTER-SYMPATHY - LOSS OF MOM-43989"</f>
        <v>EVERYDAY COUNTER-SYMPATHY - LOSS OF MOM-43989</v>
      </c>
      <c r="D706" s="3" t="str">
        <f>"43989"</f>
        <v>43989</v>
      </c>
      <c r="E706" s="3" t="str">
        <f>"ED28G008"</f>
        <v>ED28G008</v>
      </c>
    </row>
    <row r="707" spans="1:5" x14ac:dyDescent="0.25">
      <c r="A707" s="3" t="str">
        <f>"308457"</f>
        <v>308457</v>
      </c>
      <c r="B707" s="4" t="str">
        <f>"81983721908"</f>
        <v>81983721908</v>
      </c>
      <c r="C707" t="str">
        <f>"EVERYDAY COUNTER-THINKING OF YOU/ORANGE FLOWERS PKG/6-J3442"</f>
        <v>EVERYDAY COUNTER-THINKING OF YOU/ORANGE FLOWERS PKG/6-J3442</v>
      </c>
      <c r="D707" s="3" t="str">
        <f>"J3442"</f>
        <v>J3442</v>
      </c>
      <c r="E707" s="3" t="str">
        <f>"ED28G009"</f>
        <v>ED28G009</v>
      </c>
    </row>
    <row r="708" spans="1:5" x14ac:dyDescent="0.25">
      <c r="A708" s="3" t="str">
        <f>"308455"</f>
        <v>308455</v>
      </c>
      <c r="B708" s="4" t="str">
        <f>"81983721885"</f>
        <v>81983721885</v>
      </c>
      <c r="C708" t="str">
        <f>"EVERYDAY COUNTER-GET WELL/A CHEERFUL HEART  PKG/6-J3440"</f>
        <v>EVERYDAY COUNTER-GET WELL/A CHEERFUL HEART  PKG/6-J3440</v>
      </c>
      <c r="D708" s="3" t="str">
        <f>"J3440"</f>
        <v>J3440</v>
      </c>
      <c r="E708" s="3" t="str">
        <f>"ED28G010"</f>
        <v>ED28G010</v>
      </c>
    </row>
    <row r="709" spans="1:5" x14ac:dyDescent="0.25">
      <c r="A709" s="3" t="str">
        <f>"345244"</f>
        <v>345244</v>
      </c>
      <c r="B709" s="4" t="str">
        <f>"81983793677"</f>
        <v>81983793677</v>
      </c>
      <c r="C709" t="str">
        <f>"EVERYDAY COUNTER-GET WELL PKG/6-U2583"</f>
        <v>EVERYDAY COUNTER-GET WELL PKG/6-U2583</v>
      </c>
      <c r="D709" s="3" t="str">
        <f>"U2583"</f>
        <v>U2583</v>
      </c>
      <c r="E709" s="3" t="str">
        <f>"ED28G011"</f>
        <v>ED28G011</v>
      </c>
    </row>
    <row r="710" spans="1:5" x14ac:dyDescent="0.25">
      <c r="A710" s="3" t="str">
        <f>"308426"</f>
        <v>308426</v>
      </c>
      <c r="B710" s="4" t="str">
        <f>"81983720512"</f>
        <v>81983720512</v>
      </c>
      <c r="C710" t="str">
        <f>"EVERYDAY COUNTER-HL - SYMPATHY LOSS OF DAD/HONORING PKG/6-J3297"</f>
        <v>EVERYDAY COUNTER-HL - SYMPATHY LOSS OF DAD/HONORING PKG/6-J3297</v>
      </c>
      <c r="D710" s="3" t="str">
        <f>"J3297"</f>
        <v>J3297</v>
      </c>
      <c r="E710" s="3" t="str">
        <f>"ED28G012"</f>
        <v>ED28G012</v>
      </c>
    </row>
    <row r="711" spans="1:5" x14ac:dyDescent="0.25">
      <c r="A711" s="3" t="str">
        <f>"308433"</f>
        <v>308433</v>
      </c>
      <c r="B711" s="4" t="str">
        <f>"81983720581"</f>
        <v>81983720581</v>
      </c>
      <c r="C711" t="str">
        <f>"EVERYDAY COUNTER-HL - SYMPATHY/COUNT ME IN PKG/6-J3304"</f>
        <v>EVERYDAY COUNTER-HL - SYMPATHY/COUNT ME IN PKG/6-J3304</v>
      </c>
      <c r="D711" s="3" t="str">
        <f>"J3304"</f>
        <v>J3304</v>
      </c>
      <c r="E711" s="3" t="str">
        <f>"ED28G013"</f>
        <v>ED28G013</v>
      </c>
    </row>
    <row r="712" spans="1:5" x14ac:dyDescent="0.25">
      <c r="A712" s="3" t="str">
        <f>"308073"</f>
        <v>308073</v>
      </c>
      <c r="B712" s="4" t="str">
        <f>"81983772160"</f>
        <v>81983772160</v>
      </c>
      <c r="C712" t="str">
        <f>"EVERYDAY COUNTER-SYMPATHY (PACK OF 6)-J9928"</f>
        <v>EVERYDAY COUNTER-SYMPATHY (PACK OF 6)-J9928</v>
      </c>
      <c r="D712" s="3" t="str">
        <f>"J9928"</f>
        <v>J9928</v>
      </c>
      <c r="E712" s="3" t="str">
        <f>"ED28G014"</f>
        <v>ED28G014</v>
      </c>
    </row>
    <row r="713" spans="1:5" x14ac:dyDescent="0.25">
      <c r="A713" s="3" t="str">
        <f>"298809"</f>
        <v>298809</v>
      </c>
      <c r="B713" s="4" t="str">
        <f>"81983603242"</f>
        <v>81983603242</v>
      </c>
      <c r="C713" t="str">
        <f>"EVERYDAY COUNTER-SYMPATHY-43983"</f>
        <v>EVERYDAY COUNTER-SYMPATHY-43983</v>
      </c>
      <c r="D713" s="3" t="str">
        <f>"43983"</f>
        <v>43983</v>
      </c>
      <c r="E713" s="3" t="str">
        <f>"ED28G015"</f>
        <v>ED28G015</v>
      </c>
    </row>
    <row r="714" spans="1:5" x14ac:dyDescent="0.25">
      <c r="A714" s="3" t="str">
        <f>"298811"</f>
        <v>298811</v>
      </c>
      <c r="B714" s="4" t="str">
        <f>"81983772252"</f>
        <v>81983772252</v>
      </c>
      <c r="C714" t="str">
        <f>"EVERYDAY COUNTER-SYMPATHY - LOSS OF MOM-J9937"</f>
        <v>EVERYDAY COUNTER-SYMPATHY - LOSS OF MOM-J9937</v>
      </c>
      <c r="D714" s="3" t="str">
        <f>"J9937"</f>
        <v>J9937</v>
      </c>
      <c r="E714" s="3" t="str">
        <f>"ED28G016"</f>
        <v>ED28G016</v>
      </c>
    </row>
    <row r="715" spans="1:5" x14ac:dyDescent="0.25">
      <c r="A715" s="3" t="str">
        <f>"279599"</f>
        <v>279599</v>
      </c>
      <c r="B715" s="4" t="str">
        <f>"81983757488"</f>
        <v>81983757488</v>
      </c>
      <c r="C715" t="str">
        <f>"EVERYDAY COUNTER-PRAYING FOR YOU PKG/6-J8196"</f>
        <v>EVERYDAY COUNTER-PRAYING FOR YOU PKG/6-J8196</v>
      </c>
      <c r="D715" s="3" t="str">
        <f>"J8196"</f>
        <v>J8196</v>
      </c>
      <c r="E715" s="3" t="str">
        <f>"ED28G017"</f>
        <v>ED28G017</v>
      </c>
    </row>
    <row r="716" spans="1:5" x14ac:dyDescent="0.25">
      <c r="A716" s="3" t="str">
        <f>"345248"</f>
        <v>345248</v>
      </c>
      <c r="B716" s="4" t="str">
        <f>"81983793691"</f>
        <v>81983793691</v>
      </c>
      <c r="C716" t="str">
        <f>"EVERYDAY COUNTER-GET WELL HUMOR PKG/6"</f>
        <v>EVERYDAY COUNTER-GET WELL HUMOR PKG/6</v>
      </c>
      <c r="D716" s="3" t="str">
        <f>"U2585"</f>
        <v>U2585</v>
      </c>
      <c r="E716" s="3" t="str">
        <f>"ED28G018"</f>
        <v>ED28G018</v>
      </c>
    </row>
    <row r="717" spans="1:5" x14ac:dyDescent="0.25">
      <c r="A717" s="3" t="str">
        <f>"308450"</f>
        <v>308450</v>
      </c>
      <c r="B717" s="4" t="str">
        <f>"81983721854"</f>
        <v>81983721854</v>
      </c>
      <c r="C717" t="str">
        <f>"EVERYDAY COUNTER-GET WELL/JEHOVAH-RAPHA PKG/6-J3437"</f>
        <v>EVERYDAY COUNTER-GET WELL/JEHOVAH-RAPHA PKG/6-J3437</v>
      </c>
      <c r="D717" s="3" t="str">
        <f>"J3437"</f>
        <v>J3437</v>
      </c>
      <c r="E717" s="3" t="str">
        <f>"ED28G019"</f>
        <v>ED28G019</v>
      </c>
    </row>
    <row r="718" spans="1:5" x14ac:dyDescent="0.25">
      <c r="A718" s="3" t="str">
        <f>"308430"</f>
        <v>308430</v>
      </c>
      <c r="B718" s="4" t="str">
        <f>"81983720550"</f>
        <v>81983720550</v>
      </c>
      <c r="C718" t="str">
        <f>"EVERYDAY COUNTER-HL - SYMPATHY LOSS OF HUSBAND/REMEMBERED PKG/6-J3301"</f>
        <v>EVERYDAY COUNTER-HL - SYMPATHY LOSS OF HUSBAND/REMEMBERED PKG/6-J3301</v>
      </c>
      <c r="D718" s="3" t="str">
        <f>"J3301"</f>
        <v>J3301</v>
      </c>
      <c r="E718" s="3" t="str">
        <f>"ED28G020"</f>
        <v>ED28G020</v>
      </c>
    </row>
    <row r="719" spans="1:5" x14ac:dyDescent="0.25">
      <c r="A719" s="3" t="str">
        <f>"308431"</f>
        <v>308431</v>
      </c>
      <c r="B719" s="4" t="str">
        <f>"81983720567"</f>
        <v>81983720567</v>
      </c>
      <c r="C719" t="str">
        <f>"EVERYDAY COUNTER-HL - SYMPATHY LOSS OF WIFE/SPECIAL PERSON PKG/6-J3302"</f>
        <v>EVERYDAY COUNTER-HL - SYMPATHY LOSS OF WIFE/SPECIAL PERSON PKG/6-J3302</v>
      </c>
      <c r="D719" s="3" t="str">
        <f>"J3302"</f>
        <v>J3302</v>
      </c>
      <c r="E719" s="3" t="str">
        <f>"ED28G021"</f>
        <v>ED28G021</v>
      </c>
    </row>
    <row r="720" spans="1:5" x14ac:dyDescent="0.25">
      <c r="A720" s="3" t="str">
        <f>"279622"</f>
        <v>279622</v>
      </c>
      <c r="B720" s="4" t="str">
        <f>"81983774553"</f>
        <v>81983774553</v>
      </c>
      <c r="C720" t="str">
        <f>"EVERYDAY COUNTER-SYMPATHY PKG/6-J8214"</f>
        <v>EVERYDAY COUNTER-SYMPATHY PKG/6-J8214</v>
      </c>
      <c r="D720" s="3" t="str">
        <f>"J8214"</f>
        <v>J8214</v>
      </c>
      <c r="E720" s="3" t="str">
        <f>"ED28G022"</f>
        <v>ED28G022</v>
      </c>
    </row>
    <row r="721" spans="1:5" x14ac:dyDescent="0.25">
      <c r="A721" s="3" t="str">
        <f>"308253"</f>
        <v>308253</v>
      </c>
      <c r="B721" s="4" t="str">
        <f>"81983678981"</f>
        <v>81983678981</v>
      </c>
      <c r="C721" t="str">
        <f>"EVERYDAY COUNTER-SYMPATHY PKG/6-92195"</f>
        <v>EVERYDAY COUNTER-SYMPATHY PKG/6-92195</v>
      </c>
      <c r="D721" s="3" t="str">
        <f>"92195"</f>
        <v>92195</v>
      </c>
      <c r="E721" s="3" t="str">
        <f>"ED28G023"</f>
        <v>ED28G023</v>
      </c>
    </row>
    <row r="722" spans="1:5" x14ac:dyDescent="0.25">
      <c r="A722" s="3" t="str">
        <f>"279633"</f>
        <v>279633</v>
      </c>
      <c r="B722" s="4" t="str">
        <f>"81983757754"</f>
        <v>81983757754</v>
      </c>
      <c r="C722" t="str">
        <f>"EVERYDAY COUNTER-SYMPATHY - LOSS OF MOM PKG/6-J8223"</f>
        <v>EVERYDAY COUNTER-SYMPATHY - LOSS OF MOM PKG/6-J8223</v>
      </c>
      <c r="D722" s="3" t="str">
        <f>"J8223"</f>
        <v>J8223</v>
      </c>
      <c r="E722" s="3" t="str">
        <f>"ED28G024"</f>
        <v>ED28G024</v>
      </c>
    </row>
    <row r="723" spans="1:5" x14ac:dyDescent="0.25">
      <c r="A723" s="3" t="str">
        <f>"401613"</f>
        <v>401613</v>
      </c>
      <c r="B723" s="4" t="str">
        <f>"81983772047"</f>
        <v>81983772047</v>
      </c>
      <c r="C723" t="str">
        <f>"EVERYDAY COUNTER-PRAYING FOR YOU-J9916"</f>
        <v>EVERYDAY COUNTER-PRAYING FOR YOU-J9916</v>
      </c>
      <c r="D723" s="3" t="str">
        <f>"J9916"</f>
        <v>J9916</v>
      </c>
      <c r="E723" s="3" t="str">
        <f>"ED28G025"</f>
        <v>ED28G025</v>
      </c>
    </row>
    <row r="724" spans="1:5" x14ac:dyDescent="0.25">
      <c r="A724" s="3" t="str">
        <f>"307893"</f>
        <v>307893</v>
      </c>
      <c r="B724" s="4" t="str">
        <f>"81983678462"</f>
        <v>81983678462</v>
      </c>
      <c r="C724" t="str">
        <f>"EVERYDAY COUNTER-GET WELL ANYONE-44125"</f>
        <v>EVERYDAY COUNTER-GET WELL ANYONE-44125</v>
      </c>
      <c r="D724" s="3" t="str">
        <f>"44125"</f>
        <v>44125</v>
      </c>
      <c r="E724" s="3" t="str">
        <f>"ED28G026"</f>
        <v>ED28G026</v>
      </c>
    </row>
    <row r="725" spans="1:5" x14ac:dyDescent="0.25">
      <c r="A725" s="3" t="str">
        <f>"308258"</f>
        <v>308258</v>
      </c>
      <c r="B725" s="4" t="str">
        <f>"81983679063"</f>
        <v>81983679063</v>
      </c>
      <c r="C725" t="str">
        <f>"EVERYDAY COUNTER-GET WELL PKG/6-92200"</f>
        <v>EVERYDAY COUNTER-GET WELL PKG/6-92200</v>
      </c>
      <c r="D725" s="3" t="str">
        <f>"92200"</f>
        <v>92200</v>
      </c>
      <c r="E725" s="3" t="str">
        <f>"ED28G027"</f>
        <v>ED28G027</v>
      </c>
    </row>
    <row r="726" spans="1:5" x14ac:dyDescent="0.25">
      <c r="A726" s="3" t="str">
        <f>"308429"</f>
        <v>308429</v>
      </c>
      <c r="B726" s="4" t="str">
        <f>"81983720543"</f>
        <v>81983720543</v>
      </c>
      <c r="C726" t="str">
        <f>"EVERYDAY COUNTER-HL - SYMPATHY LOSS OF SON/PLANTERS PKG/6-J3300"</f>
        <v>EVERYDAY COUNTER-HL - SYMPATHY LOSS OF SON/PLANTERS PKG/6-J3300</v>
      </c>
      <c r="D726" s="3" t="str">
        <f>"J3300"</f>
        <v>J3300</v>
      </c>
      <c r="E726" s="3" t="str">
        <f>"ED28G028"</f>
        <v>ED28G028</v>
      </c>
    </row>
    <row r="727" spans="1:5" x14ac:dyDescent="0.25">
      <c r="A727" s="3" t="str">
        <f>"308428"</f>
        <v>308428</v>
      </c>
      <c r="B727" s="4" t="str">
        <f>"81983720536"</f>
        <v>81983720536</v>
      </c>
      <c r="C727" t="str">
        <f>"EVERYDAY COUNTER-HL - SYMPATHY LOSS OF DAUGHTER/GIFT FOR A LIFETIME PKG/6-J3299"</f>
        <v>EVERYDAY COUNTER-HL - SYMPATHY LOSS OF DAUGHTER/GIFT FOR A LIFETIME PKG/6-J3299</v>
      </c>
      <c r="D727" s="3" t="str">
        <f>"J3299"</f>
        <v>J3299</v>
      </c>
      <c r="E727" s="3" t="str">
        <f>"ED28G029"</f>
        <v>ED28G029</v>
      </c>
    </row>
    <row r="728" spans="1:5" x14ac:dyDescent="0.25">
      <c r="A728" s="3" t="str">
        <f>"279620"</f>
        <v>279620</v>
      </c>
      <c r="B728" s="4" t="str">
        <f>"81983757648"</f>
        <v>81983757648</v>
      </c>
      <c r="C728" t="str">
        <f>"EVERYDAY COUNTER-SYMPATHY PKG/6-J8212"</f>
        <v>EVERYDAY COUNTER-SYMPATHY PKG/6-J8212</v>
      </c>
      <c r="D728" s="3" t="str">
        <f>"J8212"</f>
        <v>J8212</v>
      </c>
      <c r="E728" s="3" t="str">
        <f>"ED28G030"</f>
        <v>ED28G030</v>
      </c>
    </row>
    <row r="729" spans="1:5" x14ac:dyDescent="0.25">
      <c r="A729" s="3" t="str">
        <f>"298735"</f>
        <v>298735</v>
      </c>
      <c r="B729" s="4" t="str">
        <f>"81983774430"</f>
        <v>81983774430</v>
      </c>
      <c r="C729" t="str">
        <f>"EVERYDAY COUNTER-SYM-FOR ANYONE-11706"</f>
        <v>EVERYDAY COUNTER-SYM-FOR ANYONE-11706</v>
      </c>
      <c r="D729" s="3" t="str">
        <f>"11706"</f>
        <v>11706</v>
      </c>
      <c r="E729" s="3" t="str">
        <f>"ED28G031"</f>
        <v>ED28G031</v>
      </c>
    </row>
    <row r="730" spans="1:5" x14ac:dyDescent="0.25">
      <c r="A730" s="3" t="str">
        <f>"308097"</f>
        <v>308097</v>
      </c>
      <c r="B730" s="4" t="str">
        <f>"81983567988"</f>
        <v>81983567988</v>
      </c>
      <c r="C730" t="str">
        <f>"EVERYDAY COUNTER-SYMPATHY - LOSS OF MOM-75412"</f>
        <v>EVERYDAY COUNTER-SYMPATHY - LOSS OF MOM-75412</v>
      </c>
      <c r="D730" s="3" t="str">
        <f>"75412"</f>
        <v>75412</v>
      </c>
      <c r="E730" s="3" t="str">
        <f>"ED28G032"</f>
        <v>ED28G032</v>
      </c>
    </row>
    <row r="731" spans="1:5" x14ac:dyDescent="0.25">
      <c r="A731" s="3" t="str">
        <f>"308086"</f>
        <v>308086</v>
      </c>
      <c r="B731" s="4" t="str">
        <f>"81983589225"</f>
        <v>81983589225</v>
      </c>
      <c r="C731" t="str">
        <f>"EVERYDAY COUNTER-PFY - FOR ANYONE-75302"</f>
        <v>EVERYDAY COUNTER-PFY - FOR ANYONE-75302</v>
      </c>
      <c r="D731" s="3" t="str">
        <f>"75302"</f>
        <v>75302</v>
      </c>
      <c r="E731" s="3" t="str">
        <f>"ED28G033"</f>
        <v>ED28G033</v>
      </c>
    </row>
    <row r="732" spans="1:5" x14ac:dyDescent="0.25">
      <c r="A732" s="3" t="str">
        <f>"308077"</f>
        <v>308077</v>
      </c>
      <c r="B732" s="4" t="str">
        <f>"81983643392"</f>
        <v>81983643392</v>
      </c>
      <c r="C732" t="str">
        <f>"EVERYDAY COUNTER-GET WELL-72901"</f>
        <v>EVERYDAY COUNTER-GET WELL-72901</v>
      </c>
      <c r="D732" s="3" t="str">
        <f>"72901"</f>
        <v>72901</v>
      </c>
      <c r="E732" s="3" t="str">
        <f>"ED28G034"</f>
        <v>ED28G034</v>
      </c>
    </row>
    <row r="733" spans="1:5" x14ac:dyDescent="0.25">
      <c r="A733" s="3" t="str">
        <f>"308448"</f>
        <v>308448</v>
      </c>
      <c r="B733" s="4" t="str">
        <f>"81983721830"</f>
        <v>81983721830</v>
      </c>
      <c r="C733" t="str">
        <f>"EVERYDAY COUNTER-GET WELL/HOT AIR BALLOON PKG/6-J3435"</f>
        <v>EVERYDAY COUNTER-GET WELL/HOT AIR BALLOON PKG/6-J3435</v>
      </c>
      <c r="D733" s="3" t="str">
        <f>"J3435"</f>
        <v>J3435</v>
      </c>
      <c r="E733" s="3" t="str">
        <f>"ED28G035"</f>
        <v>ED28G035</v>
      </c>
    </row>
    <row r="734" spans="1:5" x14ac:dyDescent="0.25">
      <c r="A734" s="3" t="str">
        <f>"298805"</f>
        <v>298805</v>
      </c>
      <c r="B734" s="4" t="str">
        <f>"81983603495"</f>
        <v>81983603495</v>
      </c>
      <c r="C734" t="str">
        <f>"EVERYDAY COUNTER-SYMPATHY-43975"</f>
        <v>EVERYDAY COUNTER-SYMPATHY-43975</v>
      </c>
      <c r="D734" s="3" t="str">
        <f>"43975"</f>
        <v>43975</v>
      </c>
      <c r="E734" s="3" t="str">
        <f>"ED28G036"</f>
        <v>ED28G036</v>
      </c>
    </row>
    <row r="735" spans="1:5" x14ac:dyDescent="0.25">
      <c r="A735" s="3" t="str">
        <f>"345260"</f>
        <v>345260</v>
      </c>
      <c r="B735" s="4" t="str">
        <f>"81983793790"</f>
        <v>81983793790</v>
      </c>
      <c r="C735" t="str">
        <f>"EVERYDAY COUNTER-SYMPATHY PKG/6-U2595"</f>
        <v>EVERYDAY COUNTER-SYMPATHY PKG/6-U2595</v>
      </c>
      <c r="D735" s="3" t="str">
        <f>"U2595"</f>
        <v>U2595</v>
      </c>
      <c r="E735" s="3" t="str">
        <f>"ED28G037"</f>
        <v>ED28G037</v>
      </c>
    </row>
    <row r="736" spans="1:5" x14ac:dyDescent="0.25">
      <c r="A736" s="3" t="str">
        <f>"308271"</f>
        <v>308271</v>
      </c>
      <c r="B736" s="4" t="str">
        <f>"81983774393"</f>
        <v>81983774393</v>
      </c>
      <c r="C736" t="str">
        <f>"EVERYDAY COUNTER-SYMPATHY-72952"</f>
        <v>EVERYDAY COUNTER-SYMPATHY-72952</v>
      </c>
      <c r="D736" s="3" t="str">
        <f>"72952"</f>
        <v>72952</v>
      </c>
      <c r="E736" s="3" t="str">
        <f>"ED28G038"</f>
        <v>ED28G038</v>
      </c>
    </row>
    <row r="737" spans="1:5" x14ac:dyDescent="0.25">
      <c r="A737" s="3" t="str">
        <f>"308079"</f>
        <v>308079</v>
      </c>
      <c r="B737" s="4" t="str">
        <f>"81983643606"</f>
        <v>81983643606</v>
      </c>
      <c r="C737" t="str">
        <f>"EVERYDAY COUNTER-SYMPATHY LOSS OF WIFE-72911"</f>
        <v>EVERYDAY COUNTER-SYMPATHY LOSS OF WIFE-72911</v>
      </c>
      <c r="D737" s="3" t="str">
        <f>"72911"</f>
        <v>72911</v>
      </c>
      <c r="E737" s="3" t="str">
        <f>"ED28G039"</f>
        <v>ED28G039</v>
      </c>
    </row>
    <row r="738" spans="1:5" x14ac:dyDescent="0.25">
      <c r="A738" s="3" t="str">
        <f>"279632"</f>
        <v>279632</v>
      </c>
      <c r="B738" s="4" t="str">
        <f>"81983774638"</f>
        <v>81983774638</v>
      </c>
      <c r="C738" t="str">
        <f>"EVERYDAY COUNTER-SYMPATHY - LOSS OF MOM PKG/6-J8222"</f>
        <v>EVERYDAY COUNTER-SYMPATHY - LOSS OF MOM PKG/6-J8222</v>
      </c>
      <c r="D738" s="3" t="str">
        <f>"J8222"</f>
        <v>J8222</v>
      </c>
      <c r="E738" s="3" t="str">
        <f>"ED28G040"</f>
        <v>ED28G040</v>
      </c>
    </row>
    <row r="739" spans="1:5" x14ac:dyDescent="0.25">
      <c r="A739" s="3" t="str">
        <f>"308463"</f>
        <v>308463</v>
      </c>
      <c r="B739" s="4" t="str">
        <f>"81983721953"</f>
        <v>81983721953</v>
      </c>
      <c r="C739" t="str">
        <f>"EVERYDAY COUNTER-PRAYING FOR YOU/BUT THIS MUCH WE KNOW PKG/6-J3447"</f>
        <v>EVERYDAY COUNTER-PRAYING FOR YOU/BUT THIS MUCH WE KNOW PKG/6-J3447</v>
      </c>
      <c r="D739" s="3" t="str">
        <f>"J3447"</f>
        <v>J3447</v>
      </c>
      <c r="E739" s="3" t="str">
        <f>"ED28G041"</f>
        <v>ED28G041</v>
      </c>
    </row>
    <row r="740" spans="1:5" x14ac:dyDescent="0.25">
      <c r="A740" s="3" t="str">
        <f>"308458"</f>
        <v>308458</v>
      </c>
      <c r="B740" s="4" t="str">
        <f>"81983721915"</f>
        <v>81983721915</v>
      </c>
      <c r="C740" t="str">
        <f>"EVERYDAY COUNTER-PRAYING FOR YOU/NAME OF EACH STAR PKG/6-J3443"</f>
        <v>EVERYDAY COUNTER-PRAYING FOR YOU/NAME OF EACH STAR PKG/6-J3443</v>
      </c>
      <c r="D740" s="3" t="str">
        <f>"J3443"</f>
        <v>J3443</v>
      </c>
      <c r="E740" s="3" t="str">
        <f>"ED28G042"</f>
        <v>ED28G042</v>
      </c>
    </row>
    <row r="741" spans="1:5" x14ac:dyDescent="0.25">
      <c r="A741" s="3" t="str">
        <f>"308451"</f>
        <v>308451</v>
      </c>
      <c r="B741" s="4" t="str">
        <f>"81983721861"</f>
        <v>81983721861</v>
      </c>
      <c r="C741" t="str">
        <f>"EVERYDAY COUNTER-GET WELL/THREE PLANTERS PKG/6-J3438"</f>
        <v>EVERYDAY COUNTER-GET WELL/THREE PLANTERS PKG/6-J3438</v>
      </c>
      <c r="D741" s="3" t="str">
        <f>"J3438"</f>
        <v>J3438</v>
      </c>
      <c r="E741" s="3" t="str">
        <f>"ED28G043"</f>
        <v>ED28G043</v>
      </c>
    </row>
    <row r="742" spans="1:5" x14ac:dyDescent="0.25">
      <c r="A742" s="3" t="str">
        <f>"307897"</f>
        <v>307897</v>
      </c>
      <c r="B742" s="4" t="str">
        <f>"81983772177"</f>
        <v>81983772177</v>
      </c>
      <c r="C742" t="str">
        <f>"EVERYDAY COUNTER-SYMPATHY ANYONE-J9929"</f>
        <v>EVERYDAY COUNTER-SYMPATHY ANYONE-J9929</v>
      </c>
      <c r="D742" s="3" t="str">
        <f>"J9929"</f>
        <v>J9929</v>
      </c>
      <c r="E742" s="3" t="str">
        <f>"ED28G044"</f>
        <v>ED28G044</v>
      </c>
    </row>
    <row r="743" spans="1:5" x14ac:dyDescent="0.25">
      <c r="A743" s="3" t="str">
        <f>"345259"</f>
        <v>345259</v>
      </c>
      <c r="B743" s="4" t="str">
        <f>"81983793783"</f>
        <v>81983793783</v>
      </c>
      <c r="C743" t="str">
        <f>"EVERYDAY COUNTER-SYMPATHY PKG/6-U2594"</f>
        <v>EVERYDAY COUNTER-SYMPATHY PKG/6-U2594</v>
      </c>
      <c r="D743" s="3" t="str">
        <f>"U2594"</f>
        <v>U2594</v>
      </c>
      <c r="E743" s="3" t="str">
        <f>"ED28G045"</f>
        <v>ED28G045</v>
      </c>
    </row>
    <row r="744" spans="1:5" x14ac:dyDescent="0.25">
      <c r="A744" s="3" t="str">
        <f>"298810"</f>
        <v>298810</v>
      </c>
      <c r="B744" s="4" t="str">
        <f>"81983678424"</f>
        <v>81983678424</v>
      </c>
      <c r="C744" t="str">
        <f>"EVERYDAY COUNTER-SYMPATHY-43984"</f>
        <v>EVERYDAY COUNTER-SYMPATHY-43984</v>
      </c>
      <c r="D744" s="3" t="str">
        <f>"43984"</f>
        <v>43984</v>
      </c>
      <c r="E744" s="3" t="str">
        <f>"ED28G046"</f>
        <v>ED28G046</v>
      </c>
    </row>
    <row r="745" spans="1:5" x14ac:dyDescent="0.25">
      <c r="A745" s="3" t="str">
        <f>"345263"</f>
        <v>345263</v>
      </c>
      <c r="B745" s="4" t="str">
        <f>"81983793820"</f>
        <v>81983793820</v>
      </c>
      <c r="C745" t="str">
        <f>"EVERYDAY COUNTER-SYMPATHY/LOSS OF WIFE PKG/6"</f>
        <v>EVERYDAY COUNTER-SYMPATHY/LOSS OF WIFE PKG/6</v>
      </c>
      <c r="D745" s="3" t="str">
        <f>"U2598"</f>
        <v>U2598</v>
      </c>
      <c r="E745" s="3" t="str">
        <f>"ED28G047"</f>
        <v>ED28G047</v>
      </c>
    </row>
    <row r="746" spans="1:5" x14ac:dyDescent="0.25">
      <c r="A746" s="3" t="str">
        <f>"307890"</f>
        <v>307890</v>
      </c>
      <c r="B746" s="4" t="str">
        <f>"81983513022"</f>
        <v>81983513022</v>
      </c>
      <c r="C746" t="str">
        <f>"EVERYDAY COUNTER-SYMPATHY - LOSS OF DAD-43993"</f>
        <v>EVERYDAY COUNTER-SYMPATHY - LOSS OF DAD-43993</v>
      </c>
      <c r="D746" s="3" t="str">
        <f>"43993"</f>
        <v>43993</v>
      </c>
      <c r="E746" s="3" t="str">
        <f>"ED28G048"</f>
        <v>ED28G048</v>
      </c>
    </row>
    <row r="747" spans="1:5" x14ac:dyDescent="0.25">
      <c r="A747" s="3" t="str">
        <f>"308462"</f>
        <v>308462</v>
      </c>
      <c r="B747" s="4" t="str">
        <f>"81983721946"</f>
        <v>81983721946</v>
      </c>
      <c r="C747" t="str">
        <f>"EVERYDAY COUNTER-PRAYING FOR YOU/LORD, SOMETIMES LIFE IS HARD PKG/6-J3446"</f>
        <v>EVERYDAY COUNTER-PRAYING FOR YOU/LORD, SOMETIMES LIFE IS HARD PKG/6-J3446</v>
      </c>
      <c r="D747" s="3" t="str">
        <f>"J3446"</f>
        <v>J3446</v>
      </c>
      <c r="E747" s="3" t="str">
        <f>"ED28G049"</f>
        <v>ED28G049</v>
      </c>
    </row>
    <row r="748" spans="1:5" x14ac:dyDescent="0.25">
      <c r="A748" s="3" t="str">
        <f>"279600"</f>
        <v>279600</v>
      </c>
      <c r="B748" s="4" t="str">
        <f>"81983757495"</f>
        <v>81983757495</v>
      </c>
      <c r="C748" t="str">
        <f>"EVERYDAY COUNTER-PRAYING FOR YOU PKG/6-J8197"</f>
        <v>EVERYDAY COUNTER-PRAYING FOR YOU PKG/6-J8197</v>
      </c>
      <c r="D748" s="3" t="str">
        <f>"J8197"</f>
        <v>J8197</v>
      </c>
      <c r="E748" s="3" t="str">
        <f>"ED28G050"</f>
        <v>ED28G050</v>
      </c>
    </row>
    <row r="749" spans="1:5" x14ac:dyDescent="0.25">
      <c r="A749" s="3" t="str">
        <f>"298775"</f>
        <v>298775</v>
      </c>
      <c r="B749" s="4" t="str">
        <f>"81983594205"</f>
        <v>81983594205</v>
      </c>
      <c r="C749" t="str">
        <f>"EVERYDAY COUNTER-GET WELL-FOR ANYONE-16023"</f>
        <v>EVERYDAY COUNTER-GET WELL-FOR ANYONE-16023</v>
      </c>
      <c r="D749" s="3" t="str">
        <f>"16023"</f>
        <v>16023</v>
      </c>
      <c r="E749" s="3" t="str">
        <f>"ED28G051"</f>
        <v>ED28G051</v>
      </c>
    </row>
    <row r="750" spans="1:5" x14ac:dyDescent="0.25">
      <c r="A750" s="3" t="str">
        <f>"308252"</f>
        <v>308252</v>
      </c>
      <c r="B750" s="4" t="str">
        <f>"81983774508"</f>
        <v>81983774508</v>
      </c>
      <c r="C750" t="str">
        <f>"EVERYDAY COUNTER-SYMPATHY PKG/6-92194"</f>
        <v>EVERYDAY COUNTER-SYMPATHY PKG/6-92194</v>
      </c>
      <c r="D750" s="3" t="str">
        <f>"92194"</f>
        <v>92194</v>
      </c>
      <c r="E750" s="3" t="str">
        <f>"ED28G052"</f>
        <v>ED28G052</v>
      </c>
    </row>
    <row r="751" spans="1:5" x14ac:dyDescent="0.25">
      <c r="A751" s="3" t="str">
        <f>"298733"</f>
        <v>298733</v>
      </c>
      <c r="B751" s="4" t="str">
        <f>"81983774423"</f>
        <v>81983774423</v>
      </c>
      <c r="C751" t="str">
        <f>"EVERYDAY COUNTER-SYM-FOR ANYONE (PACK OF 6)"</f>
        <v>EVERYDAY COUNTER-SYM-FOR ANYONE (PACK OF 6)</v>
      </c>
      <c r="D751" s="3" t="str">
        <f>"11701"</f>
        <v>11701</v>
      </c>
      <c r="E751" s="3" t="str">
        <f>"ED28G053"</f>
        <v>ED28G053</v>
      </c>
    </row>
    <row r="752" spans="1:5" x14ac:dyDescent="0.25">
      <c r="A752" s="3" t="str">
        <f>"298803"</f>
        <v>298803</v>
      </c>
      <c r="B752" s="4" t="str">
        <f>"81983603266"</f>
        <v>81983603266</v>
      </c>
      <c r="C752" t="str">
        <f>"EVERYDAY COUNTER-SYMPATHY-42571"</f>
        <v>EVERYDAY COUNTER-SYMPATHY-42571</v>
      </c>
      <c r="D752" s="3" t="str">
        <f>"42571"</f>
        <v>42571</v>
      </c>
      <c r="E752" s="3" t="str">
        <f>"ED28G054"</f>
        <v>ED28G054</v>
      </c>
    </row>
    <row r="753" spans="1:5" x14ac:dyDescent="0.25">
      <c r="A753" s="3" t="str">
        <f>"279631"</f>
        <v>279631</v>
      </c>
      <c r="B753" s="4" t="str">
        <f>"81983774621"</f>
        <v>81983774621</v>
      </c>
      <c r="C753" t="str">
        <f>"EVERYDAY COUNTER-SYMPATHY - LOSS OF HUSBAND PKG/6-J8221"</f>
        <v>EVERYDAY COUNTER-SYMPATHY - LOSS OF HUSBAND PKG/6-J8221</v>
      </c>
      <c r="D753" s="3" t="str">
        <f>"J8221"</f>
        <v>J8221</v>
      </c>
      <c r="E753" s="3" t="str">
        <f>"ED28G055"</f>
        <v>ED28G055</v>
      </c>
    </row>
    <row r="754" spans="1:5" x14ac:dyDescent="0.25">
      <c r="A754" s="3" t="str">
        <f>"298813"</f>
        <v>298813</v>
      </c>
      <c r="B754" s="4" t="str">
        <f>"81983772238"</f>
        <v>81983772238</v>
      </c>
      <c r="C754" t="str">
        <f>"EVERYDAY COUNTER-SYMPATHY - LOSS OF DAD-J9935"</f>
        <v>EVERYDAY COUNTER-SYMPATHY - LOSS OF DAD-J9935</v>
      </c>
      <c r="D754" s="3" t="str">
        <f>"J9935"</f>
        <v>J9935</v>
      </c>
      <c r="E754" s="3" t="str">
        <f>"ED28G056"</f>
        <v>ED28G056</v>
      </c>
    </row>
    <row r="755" spans="1:5" x14ac:dyDescent="0.25">
      <c r="A755" s="3" t="str">
        <f>"308085"</f>
        <v>308085</v>
      </c>
      <c r="B755" s="4" t="str">
        <f>"81983589195"</f>
        <v>81983589195</v>
      </c>
      <c r="C755" t="str">
        <f>"EVERYDAY COUNTER-PFY - FOR ANYONE-75294"</f>
        <v>EVERYDAY COUNTER-PFY - FOR ANYONE-75294</v>
      </c>
      <c r="D755" s="3" t="str">
        <f>"75294"</f>
        <v>75294</v>
      </c>
      <c r="E755" s="3" t="str">
        <f>"ED28G057"</f>
        <v>ED28G057</v>
      </c>
    </row>
    <row r="756" spans="1:5" x14ac:dyDescent="0.25">
      <c r="A756" s="3" t="str">
        <f>"307994"</f>
        <v>307994</v>
      </c>
      <c r="B756" s="4" t="str">
        <f>"81983618925"</f>
        <v>81983618925</v>
      </c>
      <c r="C756" t="str">
        <f>"EVERYDAY COUNTER-PFY-FOR ANYONE-55609"</f>
        <v>EVERYDAY COUNTER-PFY-FOR ANYONE-55609</v>
      </c>
      <c r="D756" s="3" t="str">
        <f>"55609"</f>
        <v>55609</v>
      </c>
      <c r="E756" s="3" t="str">
        <f>"ED28G058"</f>
        <v>ED28G058</v>
      </c>
    </row>
    <row r="757" spans="1:5" x14ac:dyDescent="0.25">
      <c r="A757" s="3" t="str">
        <f>"279594"</f>
        <v>279594</v>
      </c>
      <c r="B757" s="4" t="str">
        <f>"81983757457"</f>
        <v>81983757457</v>
      </c>
      <c r="C757" t="str">
        <f>"EVERYDAY COUNTER-GET WELL PKG/6-J8193"</f>
        <v>EVERYDAY COUNTER-GET WELL PKG/6-J8193</v>
      </c>
      <c r="D757" s="3" t="str">
        <f>"J8193"</f>
        <v>J8193</v>
      </c>
      <c r="E757" s="3" t="str">
        <f>"ED28G059"</f>
        <v>ED28G059</v>
      </c>
    </row>
    <row r="758" spans="1:5" x14ac:dyDescent="0.25">
      <c r="A758" s="3" t="str">
        <f>"298734"</f>
        <v>298734</v>
      </c>
      <c r="B758" s="4" t="str">
        <f>"81983772191"</f>
        <v>81983772191</v>
      </c>
      <c r="C758" t="str">
        <f>"EVERYDAY COUNTER-SYM-FOR ANYONE-J9931"</f>
        <v>EVERYDAY COUNTER-SYM-FOR ANYONE-J9931</v>
      </c>
      <c r="D758" s="3" t="str">
        <f>"J9931"</f>
        <v>J9931</v>
      </c>
      <c r="E758" s="3" t="str">
        <f>"ED28G060"</f>
        <v>ED28G060</v>
      </c>
    </row>
    <row r="759" spans="1:5" x14ac:dyDescent="0.25">
      <c r="A759" s="3" t="str">
        <f>"298736"</f>
        <v>298736</v>
      </c>
      <c r="B759" s="4" t="str">
        <f>"81983593123"</f>
        <v>81983593123</v>
      </c>
      <c r="C759" t="str">
        <f>"EVERYDAY COUNTER-SYM-FOR ANYONE-11708"</f>
        <v>EVERYDAY COUNTER-SYM-FOR ANYONE-11708</v>
      </c>
      <c r="D759" s="3" t="str">
        <f>"11708"</f>
        <v>11708</v>
      </c>
      <c r="E759" s="3" t="str">
        <f>"ED28G061"</f>
        <v>ED28G061</v>
      </c>
    </row>
    <row r="760" spans="1:5" x14ac:dyDescent="0.25">
      <c r="A760" s="3" t="str">
        <f>"279627"</f>
        <v>279627</v>
      </c>
      <c r="B760" s="4" t="str">
        <f>"81983757709"</f>
        <v>81983757709</v>
      </c>
      <c r="C760" t="str">
        <f>"EVERYDAY COUNTER-SYMPATHY PKG/6-J8218"</f>
        <v>EVERYDAY COUNTER-SYMPATHY PKG/6-J8218</v>
      </c>
      <c r="D760" s="3" t="str">
        <f>"J8218"</f>
        <v>J8218</v>
      </c>
      <c r="E760" s="3" t="str">
        <f>"ED28G062"</f>
        <v>ED28G062</v>
      </c>
    </row>
    <row r="761" spans="1:5" x14ac:dyDescent="0.25">
      <c r="A761" s="3" t="str">
        <f>"307932"</f>
        <v>307932</v>
      </c>
      <c r="B761" s="4" t="str">
        <f>"81983772245"</f>
        <v>81983772245</v>
      </c>
      <c r="C761" t="str">
        <f>"EVERYDAY COUNTER-SYMPATHY - LOSS OF HUSBAND-J9936"</f>
        <v>EVERYDAY COUNTER-SYMPATHY - LOSS OF HUSBAND-J9936</v>
      </c>
      <c r="D761" s="3" t="str">
        <f>"J9936"</f>
        <v>J9936</v>
      </c>
      <c r="E761" s="3" t="str">
        <f>"ED28G063"</f>
        <v>ED28G063</v>
      </c>
    </row>
    <row r="762" spans="1:5" x14ac:dyDescent="0.25">
      <c r="A762" s="3" t="str">
        <f>"298814"</f>
        <v>298814</v>
      </c>
      <c r="B762" s="4" t="str">
        <f>"81983603549"</f>
        <v>81983603549</v>
      </c>
      <c r="C762" t="str">
        <f>"EVERYDAY COUNTER-SYMPATHY - LOSS OF DAD-43992"</f>
        <v>EVERYDAY COUNTER-SYMPATHY - LOSS OF DAD-43992</v>
      </c>
      <c r="D762" s="3" t="str">
        <f>"43992"</f>
        <v>43992</v>
      </c>
      <c r="E762" s="3" t="str">
        <f>"ED28G064"</f>
        <v>ED28G064</v>
      </c>
    </row>
    <row r="763" spans="1:5" x14ac:dyDescent="0.25">
      <c r="A763" s="3" t="str">
        <f>"345249"</f>
        <v>345249</v>
      </c>
      <c r="B763" s="4" t="str">
        <f>"81983793707"</f>
        <v>81983793707</v>
      </c>
      <c r="C763" t="str">
        <f>"EVERYDAY COUNTER-PRAYING FOR YOU PKG/6-U2586"</f>
        <v>EVERYDAY COUNTER-PRAYING FOR YOU PKG/6-U2586</v>
      </c>
      <c r="D763" s="3" t="str">
        <f>"U2586"</f>
        <v>U2586</v>
      </c>
      <c r="E763" s="3" t="str">
        <f>"ED28G065"</f>
        <v>ED28G065</v>
      </c>
    </row>
    <row r="764" spans="1:5" x14ac:dyDescent="0.25">
      <c r="A764" s="3" t="str">
        <f>"307983"</f>
        <v>307983</v>
      </c>
      <c r="B764" s="4" t="str">
        <f>"81983618802"</f>
        <v>81983618802</v>
      </c>
      <c r="C764" t="str">
        <f>"EVERYDAY COUNTER-PFY-FOR ANYONE-55405"</f>
        <v>EVERYDAY COUNTER-PFY-FOR ANYONE-55405</v>
      </c>
      <c r="D764" s="3" t="str">
        <f>"55405"</f>
        <v>55405</v>
      </c>
      <c r="E764" s="3" t="str">
        <f>"ED28G066"</f>
        <v>ED28G066</v>
      </c>
    </row>
    <row r="765" spans="1:5" x14ac:dyDescent="0.25">
      <c r="A765" s="3" t="str">
        <f>"308265"</f>
        <v>308265</v>
      </c>
      <c r="B765" s="4" t="str">
        <f>"81983506062"</f>
        <v>81983506062</v>
      </c>
      <c r="C765" t="str">
        <f>"EVERYDAY COUNTER-GET WELL FOR ANYONE-39354"</f>
        <v>EVERYDAY COUNTER-GET WELL FOR ANYONE-39354</v>
      </c>
      <c r="D765" s="3" t="str">
        <f>"39354"</f>
        <v>39354</v>
      </c>
      <c r="E765" s="3" t="str">
        <f>"ED28G067"</f>
        <v>ED28G067</v>
      </c>
    </row>
    <row r="766" spans="1:5" x14ac:dyDescent="0.25">
      <c r="A766" s="3" t="str">
        <f>"308068"</f>
        <v>308068</v>
      </c>
      <c r="B766" s="4" t="str">
        <f>"81983774492"</f>
        <v>81983774492</v>
      </c>
      <c r="C766" t="str">
        <f>"EVERYDAY COUNTER-SYMPATHY-72818"</f>
        <v>EVERYDAY COUNTER-SYMPATHY-72818</v>
      </c>
      <c r="D766" s="3" t="str">
        <f>"72818"</f>
        <v>72818</v>
      </c>
      <c r="E766" s="3" t="str">
        <f>"ED28G068"</f>
        <v>ED28G068</v>
      </c>
    </row>
    <row r="767" spans="1:5" x14ac:dyDescent="0.25">
      <c r="A767" s="3" t="str">
        <f>"308072"</f>
        <v>308072</v>
      </c>
      <c r="B767" s="4" t="str">
        <f>"81983774454"</f>
        <v>81983774454</v>
      </c>
      <c r="C767" t="str">
        <f>"EVERYDAY COUNTER-SYMPATHY-72852"</f>
        <v>EVERYDAY COUNTER-SYMPATHY-72852</v>
      </c>
      <c r="D767" s="3" t="str">
        <f>"72852"</f>
        <v>72852</v>
      </c>
      <c r="E767" s="3" t="str">
        <f>"ED28G069"</f>
        <v>ED28G069</v>
      </c>
    </row>
    <row r="768" spans="1:5" x14ac:dyDescent="0.25">
      <c r="A768" s="3" t="str">
        <f>"308074"</f>
        <v>308074</v>
      </c>
      <c r="B768" s="4" t="str">
        <f>"81983774416"</f>
        <v>81983774416</v>
      </c>
      <c r="C768" t="str">
        <f>"EVERYDAY COUNTER-SYMPATHY-72855"</f>
        <v>EVERYDAY COUNTER-SYMPATHY-72855</v>
      </c>
      <c r="D768" s="3" t="str">
        <f>"72855"</f>
        <v>72855</v>
      </c>
      <c r="E768" s="3" t="str">
        <f>"ED28G070"</f>
        <v>ED28G070</v>
      </c>
    </row>
    <row r="769" spans="1:5" x14ac:dyDescent="0.25">
      <c r="A769" s="3" t="str">
        <f>"308224"</f>
        <v>308224</v>
      </c>
      <c r="B769" s="4" t="str">
        <f>"81983774614"</f>
        <v>81983774614</v>
      </c>
      <c r="C769" t="str">
        <f>"EVERYDAY COUNTER-SYM-LOSS OF HUSBAND PKG/6-92001"</f>
        <v>EVERYDAY COUNTER-SYM-LOSS OF HUSBAND PKG/6-92001</v>
      </c>
      <c r="D769" s="3" t="str">
        <f>"92001"</f>
        <v>92001</v>
      </c>
      <c r="E769" s="3" t="str">
        <f>"ED28G071"</f>
        <v>ED28G071</v>
      </c>
    </row>
    <row r="770" spans="1:5" x14ac:dyDescent="0.25">
      <c r="A770" s="3" t="str">
        <f>"307891"</f>
        <v>307891</v>
      </c>
      <c r="B770" s="4" t="str">
        <f>"81983513039"</f>
        <v>81983513039</v>
      </c>
      <c r="C770" t="str">
        <f>"EVERYDAY COUNTER-SYMPATHY - LOSS OF DAD-43994"</f>
        <v>EVERYDAY COUNTER-SYMPATHY - LOSS OF DAD-43994</v>
      </c>
      <c r="D770" s="3" t="str">
        <f>"43994"</f>
        <v>43994</v>
      </c>
      <c r="E770" s="3" t="str">
        <f>"ED28G072"</f>
        <v>ED28G072</v>
      </c>
    </row>
    <row r="771" spans="1:5" x14ac:dyDescent="0.25">
      <c r="A771" s="3" t="str">
        <f>"345251"</f>
        <v>345251</v>
      </c>
      <c r="B771" s="4" t="str">
        <f>"81983793721"</f>
        <v>81983793721</v>
      </c>
      <c r="C771" t="str">
        <f>"EVERYDAY COUNTER-PRAYING FOR YOU PKG/6-U2588"</f>
        <v>EVERYDAY COUNTER-PRAYING FOR YOU PKG/6-U2588</v>
      </c>
      <c r="D771" s="3" t="str">
        <f>"U2588"</f>
        <v>U2588</v>
      </c>
      <c r="E771" s="3" t="str">
        <f>"ED28G073"</f>
        <v>ED28G073</v>
      </c>
    </row>
    <row r="772" spans="1:5" x14ac:dyDescent="0.25">
      <c r="A772" s="3" t="str">
        <f>"308461"</f>
        <v>308461</v>
      </c>
      <c r="B772" s="4" t="str">
        <f>"81983721939"</f>
        <v>81983721939</v>
      </c>
      <c r="C772" t="str">
        <f>"EVERYDAY COUNTER-PRAYING FOR YOU/THE LORD HIMSELF PKG/6-J3445"</f>
        <v>EVERYDAY COUNTER-PRAYING FOR YOU/THE LORD HIMSELF PKG/6-J3445</v>
      </c>
      <c r="D772" s="3" t="str">
        <f>"J3445"</f>
        <v>J3445</v>
      </c>
      <c r="E772" s="3" t="str">
        <f>"ED28G074"</f>
        <v>ED28G074</v>
      </c>
    </row>
    <row r="773" spans="1:5" x14ac:dyDescent="0.25">
      <c r="A773" s="3" t="str">
        <f>"279592"</f>
        <v>279592</v>
      </c>
      <c r="B773" s="4" t="str">
        <f>"81983757433"</f>
        <v>81983757433</v>
      </c>
      <c r="C773" t="str">
        <f>"EVERYDAY COUNTER-GET WELL PKG/6-J8191"</f>
        <v>EVERYDAY COUNTER-GET WELL PKG/6-J8191</v>
      </c>
      <c r="D773" s="3" t="str">
        <f>"J8191"</f>
        <v>J8191</v>
      </c>
      <c r="E773" s="3" t="str">
        <f>"ED28G075"</f>
        <v>ED28G075</v>
      </c>
    </row>
    <row r="774" spans="1:5" x14ac:dyDescent="0.25">
      <c r="A774" s="3" t="str">
        <f>"345247"</f>
        <v>345247</v>
      </c>
      <c r="B774" s="4" t="str">
        <f>"81983793684"</f>
        <v>81983793684</v>
      </c>
      <c r="C774" t="str">
        <f>"EVERYDAY COUNTER-GET WELL PKG/6-U2584"</f>
        <v>EVERYDAY COUNTER-GET WELL PKG/6-U2584</v>
      </c>
      <c r="D774" s="3" t="str">
        <f>"U2584"</f>
        <v>U2584</v>
      </c>
      <c r="E774" s="3" t="str">
        <f>"ED28G076"</f>
        <v>ED28G076</v>
      </c>
    </row>
    <row r="775" spans="1:5" x14ac:dyDescent="0.25">
      <c r="A775" s="3" t="str">
        <f>"298801"</f>
        <v>298801</v>
      </c>
      <c r="B775" s="4" t="str">
        <f>"81983512605"</f>
        <v>81983512605</v>
      </c>
      <c r="C775" t="str">
        <f>"EVERYDAY COUNTER-SYMPATHY-42545"</f>
        <v>EVERYDAY COUNTER-SYMPATHY-42545</v>
      </c>
      <c r="D775" s="3" t="str">
        <f>"42545"</f>
        <v>42545</v>
      </c>
      <c r="E775" s="3" t="str">
        <f>"ED28G077"</f>
        <v>ED28G077</v>
      </c>
    </row>
    <row r="776" spans="1:5" x14ac:dyDescent="0.25">
      <c r="A776" s="3" t="str">
        <f>"298806"</f>
        <v>298806</v>
      </c>
      <c r="B776" s="4" t="str">
        <f>"81983678417"</f>
        <v>81983678417</v>
      </c>
      <c r="C776" t="str">
        <f>"EVERYDAY COUNTER-SYMPATHY-43976"</f>
        <v>EVERYDAY COUNTER-SYMPATHY-43976</v>
      </c>
      <c r="D776" s="3" t="str">
        <f>"43976"</f>
        <v>43976</v>
      </c>
      <c r="E776" s="3" t="str">
        <f>"ED28G078"</f>
        <v>ED28G078</v>
      </c>
    </row>
    <row r="777" spans="1:5" x14ac:dyDescent="0.25">
      <c r="A777" s="3" t="str">
        <f>"298738"</f>
        <v>298738</v>
      </c>
      <c r="B777" s="4" t="str">
        <f>"81983593161"</f>
        <v>81983593161</v>
      </c>
      <c r="C777" t="str">
        <f>"EVERYDAY COUNTER-SYM-FOR ANYONE-11712"</f>
        <v>EVERYDAY COUNTER-SYM-FOR ANYONE-11712</v>
      </c>
      <c r="D777" s="3" t="str">
        <f>"11712"</f>
        <v>11712</v>
      </c>
      <c r="E777" s="3" t="str">
        <f>"ED28G079"</f>
        <v>ED28G079</v>
      </c>
    </row>
    <row r="778" spans="1:5" x14ac:dyDescent="0.25">
      <c r="A778" s="3" t="str">
        <f>"308225"</f>
        <v>308225</v>
      </c>
      <c r="B778" s="4" t="str">
        <f>"81983677458"</f>
        <v>81983677458</v>
      </c>
      <c r="C778" t="str">
        <f>"EVERYDAY COUNTER-SYM-LOSS OF HUSBAND PKG/6-92002"</f>
        <v>EVERYDAY COUNTER-SYM-LOSS OF HUSBAND PKG/6-92002</v>
      </c>
      <c r="D778" s="3" t="str">
        <f>"92002"</f>
        <v>92002</v>
      </c>
      <c r="E778" s="3" t="str">
        <f>"ED28G080"</f>
        <v>ED28G080</v>
      </c>
    </row>
    <row r="779" spans="1:5" x14ac:dyDescent="0.25">
      <c r="A779" s="3" t="str">
        <f>"279629"</f>
        <v>279629</v>
      </c>
      <c r="B779" s="4" t="str">
        <f>"81983757723"</f>
        <v>81983757723</v>
      </c>
      <c r="C779" t="str">
        <f>"EVERYDAY COUNTER-SYMPATHY - LOSS OF DAD PKG/6-J8220"</f>
        <v>EVERYDAY COUNTER-SYMPATHY - LOSS OF DAD PKG/6-J8220</v>
      </c>
      <c r="D779" s="3" t="str">
        <f>"J8220"</f>
        <v>J8220</v>
      </c>
      <c r="E779" s="3" t="str">
        <f>"ED28G081"</f>
        <v>ED28G081</v>
      </c>
    </row>
    <row r="780" spans="1:5" x14ac:dyDescent="0.25">
      <c r="A780" s="3" t="str">
        <f>"307993"</f>
        <v>307993</v>
      </c>
      <c r="B780" s="4" t="str">
        <f>"81983618918"</f>
        <v>81983618918</v>
      </c>
      <c r="C780" t="str">
        <f>"EVERYDAY COUNTER-PFY-FOR ANYONE-55608"</f>
        <v>EVERYDAY COUNTER-PFY-FOR ANYONE-55608</v>
      </c>
      <c r="D780" s="3" t="str">
        <f>"55608"</f>
        <v>55608</v>
      </c>
      <c r="E780" s="3" t="str">
        <f>"ED28G082"</f>
        <v>ED28G082</v>
      </c>
    </row>
    <row r="781" spans="1:5" x14ac:dyDescent="0.25">
      <c r="A781" s="3" t="str">
        <f>"40160X"</f>
        <v>40160X</v>
      </c>
      <c r="B781" s="4" t="str">
        <f>"81983618932"</f>
        <v>81983618932</v>
      </c>
      <c r="C781" t="str">
        <f>"EVERYDAY COUNTER-PFY-PATRIOTIC-55701"</f>
        <v>EVERYDAY COUNTER-PFY-PATRIOTIC-55701</v>
      </c>
      <c r="D781" s="3" t="str">
        <f>"55701"</f>
        <v>55701</v>
      </c>
      <c r="E781" s="3" t="str">
        <f>"ED28G083"</f>
        <v>ED28G083</v>
      </c>
    </row>
    <row r="782" spans="1:5" x14ac:dyDescent="0.25">
      <c r="A782" s="3" t="str">
        <f>"308066"</f>
        <v>308066</v>
      </c>
      <c r="B782" s="4" t="str">
        <f>"81983773495"</f>
        <v>81983773495</v>
      </c>
      <c r="C782" t="str">
        <f>"EVERYDAY COUNTER-GET WELL-72816"</f>
        <v>EVERYDAY COUNTER-GET WELL-72816</v>
      </c>
      <c r="D782" s="3" t="str">
        <f>"72816"</f>
        <v>72816</v>
      </c>
      <c r="E782" s="3" t="str">
        <f>"ED28G084"</f>
        <v>ED28G084</v>
      </c>
    </row>
    <row r="783" spans="1:5" x14ac:dyDescent="0.25">
      <c r="A783" s="3" t="str">
        <f>"308067"</f>
        <v>308067</v>
      </c>
      <c r="B783" s="4" t="str">
        <f>"81983643262"</f>
        <v>81983643262</v>
      </c>
      <c r="C783" t="str">
        <f>"EVERYDAY COUNTER-GET WELL-72817"</f>
        <v>EVERYDAY COUNTER-GET WELL-72817</v>
      </c>
      <c r="D783" s="3" t="str">
        <f>"72817"</f>
        <v>72817</v>
      </c>
      <c r="E783" s="3" t="str">
        <f>"ED28G085"</f>
        <v>ED28G085</v>
      </c>
    </row>
    <row r="784" spans="1:5" x14ac:dyDescent="0.25">
      <c r="A784" s="3" t="str">
        <f>"298804"</f>
        <v>298804</v>
      </c>
      <c r="B784" s="4" t="str">
        <f>"81983774379"</f>
        <v>81983774379</v>
      </c>
      <c r="C784" t="str">
        <f>"EVERYDAY COUNTER-SYMPATHY-43967"</f>
        <v>EVERYDAY COUNTER-SYMPATHY-43967</v>
      </c>
      <c r="D784" s="3" t="str">
        <f>"43967"</f>
        <v>43967</v>
      </c>
      <c r="E784" s="3" t="str">
        <f>"ED28G086"</f>
        <v>ED28G086</v>
      </c>
    </row>
    <row r="785" spans="1:5" x14ac:dyDescent="0.25">
      <c r="A785" s="3" t="str">
        <f>"279616"</f>
        <v>279616</v>
      </c>
      <c r="B785" s="4" t="str">
        <f>"81983774522"</f>
        <v>81983774522</v>
      </c>
      <c r="C785" t="str">
        <f>"EVERYDAY COUNTER-SYMPATHY PKG/6-J8209"</f>
        <v>EVERYDAY COUNTER-SYMPATHY PKG/6-J8209</v>
      </c>
      <c r="D785" s="3" t="str">
        <f>"J8209"</f>
        <v>J8209</v>
      </c>
      <c r="E785" s="3" t="str">
        <f>"ED28G087"</f>
        <v>ED28G087</v>
      </c>
    </row>
    <row r="786" spans="1:5" x14ac:dyDescent="0.25">
      <c r="A786" s="3" t="str">
        <f>"279617"</f>
        <v>279617</v>
      </c>
      <c r="B786" s="4" t="str">
        <f>"81983757624"</f>
        <v>81983757624</v>
      </c>
      <c r="C786" t="str">
        <f>"EVERYDAY COUNTER-SYMPATHY PKG/6-J8210"</f>
        <v>EVERYDAY COUNTER-SYMPATHY PKG/6-J8210</v>
      </c>
      <c r="D786" s="3" t="str">
        <f>"J8210"</f>
        <v>J8210</v>
      </c>
      <c r="E786" s="3" t="str">
        <f>"ED28G088"</f>
        <v>ED28G088</v>
      </c>
    </row>
    <row r="787" spans="1:5" x14ac:dyDescent="0.25">
      <c r="A787" s="3" t="str">
        <f>"298800"</f>
        <v>298800</v>
      </c>
      <c r="B787" s="4" t="str">
        <f>"81983512568"</f>
        <v>81983512568</v>
      </c>
      <c r="C787" t="str">
        <f>"EVERYDAY COUNTER-SYMPATHY-42541"</f>
        <v>EVERYDAY COUNTER-SYMPATHY-42541</v>
      </c>
      <c r="D787" s="3" t="str">
        <f>"42541"</f>
        <v>42541</v>
      </c>
      <c r="E787" s="3" t="str">
        <f>"ED28G089"</f>
        <v>ED28G089</v>
      </c>
    </row>
    <row r="788" spans="1:5" x14ac:dyDescent="0.25">
      <c r="A788" s="3" t="str">
        <f>"308078"</f>
        <v>308078</v>
      </c>
      <c r="B788" s="4" t="str">
        <f>"81983643439"</f>
        <v>81983643439</v>
      </c>
      <c r="C788" t="str">
        <f>"EVERYDAY COUNTER-SYMPATHY LOSS OF BABY-72902"</f>
        <v>EVERYDAY COUNTER-SYMPATHY LOSS OF BABY-72902</v>
      </c>
      <c r="D788" s="3" t="str">
        <f>"72902"</f>
        <v>72902</v>
      </c>
      <c r="E788" s="3" t="str">
        <f>"ED28G090"</f>
        <v>ED28G090</v>
      </c>
    </row>
    <row r="789" spans="1:5" x14ac:dyDescent="0.25">
      <c r="A789" s="3" t="str">
        <f>"307990"</f>
        <v>307990</v>
      </c>
      <c r="B789" s="4" t="str">
        <f>"81983772023"</f>
        <v>81983772023</v>
      </c>
      <c r="C789" t="str">
        <f>"EVERYDAY COUNTER-PFY-FOR ANYONE-J9914"</f>
        <v>EVERYDAY COUNTER-PFY-FOR ANYONE-J9914</v>
      </c>
      <c r="D789" s="3" t="str">
        <f>"J9914"</f>
        <v>J9914</v>
      </c>
      <c r="E789" s="3" t="str">
        <f>"ED28G091"</f>
        <v>ED28G091</v>
      </c>
    </row>
    <row r="790" spans="1:5" x14ac:dyDescent="0.25">
      <c r="A790" s="3" t="str">
        <f>"345252"</f>
        <v>345252</v>
      </c>
      <c r="B790" s="4" t="str">
        <f>"81983793738"</f>
        <v>81983793738</v>
      </c>
      <c r="C790" t="str">
        <f>"EVERYDAY COUNTER-PRAYING FOR YOU/MILITARY PKG/6"</f>
        <v>EVERYDAY COUNTER-PRAYING FOR YOU/MILITARY PKG/6</v>
      </c>
      <c r="D790" s="3" t="str">
        <f>"U2589"</f>
        <v>U2589</v>
      </c>
      <c r="E790" s="3" t="str">
        <f>"ED28G092"</f>
        <v>ED28G092</v>
      </c>
    </row>
    <row r="791" spans="1:5" x14ac:dyDescent="0.25">
      <c r="A791" s="3" t="str">
        <f>"298794"</f>
        <v>298794</v>
      </c>
      <c r="B791" s="4" t="str">
        <f>"81983772009"</f>
        <v>81983772009</v>
      </c>
      <c r="C791" t="str">
        <f>"EVERYDAY COUNTER-GET WELL FOR ANYONE-J9912"</f>
        <v>EVERYDAY COUNTER-GET WELL FOR ANYONE-J9912</v>
      </c>
      <c r="D791" s="3" t="str">
        <f>"J9912"</f>
        <v>J9912</v>
      </c>
      <c r="E791" s="3" t="str">
        <f>"ED28G093"</f>
        <v>ED28G093</v>
      </c>
    </row>
    <row r="792" spans="1:5" x14ac:dyDescent="0.25">
      <c r="A792" s="3" t="str">
        <f>"308449"</f>
        <v>308449</v>
      </c>
      <c r="B792" s="4" t="str">
        <f>"81983773471"</f>
        <v>81983773471</v>
      </c>
      <c r="C792" t="str">
        <f>"EVERYDAY COUNTER-GET WELL/GOD IS A ROCK PKG/6-J3436"</f>
        <v>EVERYDAY COUNTER-GET WELL/GOD IS A ROCK PKG/6-J3436</v>
      </c>
      <c r="D792" s="3" t="str">
        <f>"J3436"</f>
        <v>J3436</v>
      </c>
      <c r="E792" s="3" t="str">
        <f>"ED28G094"</f>
        <v>ED28G094</v>
      </c>
    </row>
    <row r="793" spans="1:5" x14ac:dyDescent="0.25">
      <c r="A793" s="3" t="str">
        <f>"298802"</f>
        <v>298802</v>
      </c>
      <c r="B793" s="4" t="str">
        <f>"81983512636"</f>
        <v>81983512636</v>
      </c>
      <c r="C793" t="str">
        <f>"EVERYDAY COUNTER-SYMPATHY-42548"</f>
        <v>EVERYDAY COUNTER-SYMPATHY-42548</v>
      </c>
      <c r="D793" s="3" t="str">
        <f>"42548"</f>
        <v>42548</v>
      </c>
      <c r="E793" s="3" t="str">
        <f>"ED28G095"</f>
        <v>ED28G095</v>
      </c>
    </row>
    <row r="794" spans="1:5" x14ac:dyDescent="0.25">
      <c r="A794" s="3" t="str">
        <f>"308080"</f>
        <v>308080</v>
      </c>
      <c r="B794" s="4" t="str">
        <f>"81983772153"</f>
        <v>81983772153</v>
      </c>
      <c r="C794" t="str">
        <f>"EVERYDAY COUNTER-SYMPATHY (PACK OF 6)-J9927"</f>
        <v>EVERYDAY COUNTER-SYMPATHY (PACK OF 6)-J9927</v>
      </c>
      <c r="D794" s="3" t="str">
        <f>"J9927"</f>
        <v>J9927</v>
      </c>
      <c r="E794" s="3" t="str">
        <f>"ED28G096"</f>
        <v>ED28G096</v>
      </c>
    </row>
    <row r="795" spans="1:5" x14ac:dyDescent="0.25">
      <c r="A795" s="3" t="str">
        <f>"279550"</f>
        <v>279550</v>
      </c>
      <c r="B795" s="4" t="str">
        <f>"81983749186"</f>
        <v>81983749186</v>
      </c>
      <c r="C795" t="str">
        <f>"EVERYDAY COUNTER-SYMPATHY PKG/6-J6746"</f>
        <v>EVERYDAY COUNTER-SYMPATHY PKG/6-J6746</v>
      </c>
      <c r="D795" s="3" t="str">
        <f>"J6746"</f>
        <v>J6746</v>
      </c>
      <c r="E795" s="3" t="str">
        <f>"ED28G097"</f>
        <v>ED28G097</v>
      </c>
    </row>
    <row r="796" spans="1:5" x14ac:dyDescent="0.25">
      <c r="A796" s="3" t="str">
        <f>"279628"</f>
        <v>279628</v>
      </c>
      <c r="B796" s="4" t="str">
        <f>"81983774577"</f>
        <v>81983774577</v>
      </c>
      <c r="C796" t="str">
        <f>"EVERYDAY COUNTER-SYMPATHY PKG/6-J8219"</f>
        <v>EVERYDAY COUNTER-SYMPATHY PKG/6-J8219</v>
      </c>
      <c r="D796" s="3" t="str">
        <f>"J8219"</f>
        <v>J8219</v>
      </c>
      <c r="E796" s="3" t="str">
        <f>"ED28G098"</f>
        <v>ED28G098</v>
      </c>
    </row>
    <row r="797" spans="1:5" x14ac:dyDescent="0.25">
      <c r="A797" s="3" t="str">
        <f>"298730"</f>
        <v>298730</v>
      </c>
      <c r="B797" s="4" t="str">
        <f>"81983774607"</f>
        <v>81983774607</v>
      </c>
      <c r="C797" t="str">
        <f>"EVERYDAY COUNTER-SYM-LOSS OF DAUGHTER-11528"</f>
        <v>EVERYDAY COUNTER-SYM-LOSS OF DAUGHTER-11528</v>
      </c>
      <c r="D797" s="3" t="str">
        <f>"11528"</f>
        <v>11528</v>
      </c>
      <c r="E797" s="3" t="str">
        <f>"ED28G099"</f>
        <v>ED28G099</v>
      </c>
    </row>
    <row r="798" spans="1:5" x14ac:dyDescent="0.25">
      <c r="A798" s="3" t="str">
        <f>"279597"</f>
        <v>279597</v>
      </c>
      <c r="B798" s="4" t="str">
        <f>"81983757471"</f>
        <v>81983757471</v>
      </c>
      <c r="C798" t="str">
        <f>"EVERYDAY COUNTER-PRAYING FOR YOU PKG/6-J8195"</f>
        <v>EVERYDAY COUNTER-PRAYING FOR YOU PKG/6-J8195</v>
      </c>
      <c r="D798" s="3" t="str">
        <f>"J8195"</f>
        <v>J8195</v>
      </c>
      <c r="E798" s="3" t="str">
        <f>"ED28G100"</f>
        <v>ED28G100</v>
      </c>
    </row>
    <row r="799" spans="1:5" x14ac:dyDescent="0.25">
      <c r="A799" s="3" t="str">
        <f>"345250"</f>
        <v>345250</v>
      </c>
      <c r="B799" s="4" t="str">
        <f>"81983793714"</f>
        <v>81983793714</v>
      </c>
      <c r="C799" t="str">
        <f>"EVERYDAY COUNTER-PRAYING FOR YOU PKG/6-U2587"</f>
        <v>EVERYDAY COUNTER-PRAYING FOR YOU PKG/6-U2587</v>
      </c>
      <c r="D799" s="3" t="str">
        <f>"U2587"</f>
        <v>U2587</v>
      </c>
      <c r="E799" s="3" t="str">
        <f>"ED28G101"</f>
        <v>ED28G101</v>
      </c>
    </row>
    <row r="800" spans="1:5" x14ac:dyDescent="0.25">
      <c r="A800" s="3" t="str">
        <f>"308246"</f>
        <v>308246</v>
      </c>
      <c r="B800" s="4" t="str">
        <f>"81983678905"</f>
        <v>81983678905</v>
      </c>
      <c r="C800" t="str">
        <f>"EVERYDAY COUNTER-GET WELL PKG/6-92187"</f>
        <v>EVERYDAY COUNTER-GET WELL PKG/6-92187</v>
      </c>
      <c r="D800" s="3" t="str">
        <f>"92187"</f>
        <v>92187</v>
      </c>
      <c r="E800" s="3" t="str">
        <f>"ED28G102"</f>
        <v>ED28G102</v>
      </c>
    </row>
    <row r="801" spans="1:5" x14ac:dyDescent="0.25">
      <c r="A801" s="3" t="str">
        <f>"298797"</f>
        <v>298797</v>
      </c>
      <c r="B801" s="4" t="str">
        <f>"81983506277"</f>
        <v>81983506277</v>
      </c>
      <c r="C801" t="str">
        <f>"EVERYDAY COUNTER-GET WELL RECOVERY-39375"</f>
        <v>EVERYDAY COUNTER-GET WELL RECOVERY-39375</v>
      </c>
      <c r="D801" s="3" t="str">
        <f>"39375"</f>
        <v>39375</v>
      </c>
      <c r="E801" s="3" t="str">
        <f>"ED28G103"</f>
        <v>ED28G103</v>
      </c>
    </row>
    <row r="802" spans="1:5" x14ac:dyDescent="0.25">
      <c r="A802" s="3" t="str">
        <f>"345262"</f>
        <v>345262</v>
      </c>
      <c r="B802" s="4" t="str">
        <f>"81983793813"</f>
        <v>81983793813</v>
      </c>
      <c r="C802" t="str">
        <f>"EVERYDAY COUNTER-SYMPATHY PKG/6-U2597"</f>
        <v>EVERYDAY COUNTER-SYMPATHY PKG/6-U2597</v>
      </c>
      <c r="D802" s="3" t="str">
        <f>"U2597"</f>
        <v>U2597</v>
      </c>
      <c r="E802" s="3" t="str">
        <f>"ED28G104"</f>
        <v>ED28G104</v>
      </c>
    </row>
    <row r="803" spans="1:5" x14ac:dyDescent="0.25">
      <c r="A803" s="3" t="str">
        <f>"345261"</f>
        <v>345261</v>
      </c>
      <c r="B803" s="4" t="str">
        <f>"81983793806"</f>
        <v>81983793806</v>
      </c>
      <c r="C803" t="str">
        <f>"EVERYDAY COUNTER-SYMPATHY PKG/6-U2596"</f>
        <v>EVERYDAY COUNTER-SYMPATHY PKG/6-U2596</v>
      </c>
      <c r="D803" s="3" t="str">
        <f>"U2596"</f>
        <v>U2596</v>
      </c>
      <c r="E803" s="3" t="str">
        <f>"ED28G105"</f>
        <v>ED28G105</v>
      </c>
    </row>
    <row r="804" spans="1:5" x14ac:dyDescent="0.25">
      <c r="A804" s="3" t="str">
        <f>"308250"</f>
        <v>308250</v>
      </c>
      <c r="B804" s="4" t="str">
        <f>"81983774386"</f>
        <v>81983774386</v>
      </c>
      <c r="C804" t="str">
        <f>"EVERYDAY COUNTER-SYMPATHY PKG/6-92192"</f>
        <v>EVERYDAY COUNTER-SYMPATHY PKG/6-92192</v>
      </c>
      <c r="D804" s="3" t="str">
        <f>"92192"</f>
        <v>92192</v>
      </c>
      <c r="E804" s="3" t="str">
        <f>"ED28G106"</f>
        <v>ED28G106</v>
      </c>
    </row>
    <row r="805" spans="1:5" x14ac:dyDescent="0.25">
      <c r="A805" s="3" t="str">
        <f>"279618"</f>
        <v>279618</v>
      </c>
      <c r="B805" s="4" t="str">
        <f>"81983774539"</f>
        <v>81983774539</v>
      </c>
      <c r="C805" t="str">
        <f>"EVERYDAY COUNTER-SYMPATHY PKG/6-J8211"</f>
        <v>EVERYDAY COUNTER-SYMPATHY PKG/6-J8211</v>
      </c>
      <c r="D805" s="3" t="str">
        <f>"J8211"</f>
        <v>J8211</v>
      </c>
      <c r="E805" s="3" t="str">
        <f>"ED28G107"</f>
        <v>ED28G107</v>
      </c>
    </row>
    <row r="806" spans="1:5" x14ac:dyDescent="0.25">
      <c r="A806" s="3" t="str">
        <f>"308226"</f>
        <v>308226</v>
      </c>
      <c r="B806" s="4" t="str">
        <f>"81983677465"</f>
        <v>81983677465</v>
      </c>
      <c r="C806" t="str">
        <f>"EVERYDAY COUNTER-SYM-LOSS OF SON PKG/6-92003"</f>
        <v>EVERYDAY COUNTER-SYM-LOSS OF SON PKG/6-92003</v>
      </c>
      <c r="D806" s="3" t="str">
        <f>"92003"</f>
        <v>92003</v>
      </c>
      <c r="E806" s="3" t="str">
        <f>"ED28G108"</f>
        <v>ED28G108</v>
      </c>
    </row>
    <row r="807" spans="1:5" x14ac:dyDescent="0.25">
      <c r="A807" s="3" t="str">
        <f>"308218"</f>
        <v>308218</v>
      </c>
      <c r="B807" s="4" t="str">
        <f>"81983677403"</f>
        <v>81983677403</v>
      </c>
      <c r="C807" t="str">
        <f>"EVERYDAY COUNTER-PRAYING FOR YOU PKG/6-91997"</f>
        <v>EVERYDAY COUNTER-PRAYING FOR YOU PKG/6-91997</v>
      </c>
      <c r="D807" s="3" t="str">
        <f>"91997"</f>
        <v>91997</v>
      </c>
      <c r="E807" s="3" t="str">
        <f>"ED28G109"</f>
        <v>ED28G109</v>
      </c>
    </row>
    <row r="808" spans="1:5" x14ac:dyDescent="0.25">
      <c r="A808" s="3" t="str">
        <f>"307979"</f>
        <v>307979</v>
      </c>
      <c r="B808" s="4" t="str">
        <f>"81983618772"</f>
        <v>81983618772</v>
      </c>
      <c r="C808" t="str">
        <f>"EVERYDAY COUNTER-PFY-FOR ANYONE-55402"</f>
        <v>EVERYDAY COUNTER-PFY-FOR ANYONE-55402</v>
      </c>
      <c r="D808" s="3" t="str">
        <f>"55402"</f>
        <v>55402</v>
      </c>
      <c r="E808" s="3" t="str">
        <f>"ED28G110"</f>
        <v>ED28G110</v>
      </c>
    </row>
    <row r="809" spans="1:5" x14ac:dyDescent="0.25">
      <c r="A809" s="3" t="str">
        <f>"279595"</f>
        <v>279595</v>
      </c>
      <c r="B809" s="4" t="str">
        <f>"81983757464"</f>
        <v>81983757464</v>
      </c>
      <c r="C809" t="str">
        <f>"EVERYDAY COUNTER-GET WELL PKG/6-J8194"</f>
        <v>EVERYDAY COUNTER-GET WELL PKG/6-J8194</v>
      </c>
      <c r="D809" s="3" t="str">
        <f>"J8194"</f>
        <v>J8194</v>
      </c>
      <c r="E809" s="3" t="str">
        <f>"ED28G111"</f>
        <v>ED28G111</v>
      </c>
    </row>
    <row r="810" spans="1:5" x14ac:dyDescent="0.25">
      <c r="A810" s="3" t="str">
        <f>"308456"</f>
        <v>308456</v>
      </c>
      <c r="B810" s="4" t="str">
        <f>"81983721892"</f>
        <v>81983721892</v>
      </c>
      <c r="C810" t="str">
        <f>"EVERYDAY COUNTER-GET WELL - RECOVERY/REST AND HEAL PKG/6-J3441"</f>
        <v>EVERYDAY COUNTER-GET WELL - RECOVERY/REST AND HEAL PKG/6-J3441</v>
      </c>
      <c r="D810" s="3" t="str">
        <f>"J3441"</f>
        <v>J3441</v>
      </c>
      <c r="E810" s="3" t="str">
        <f>"ED28G112"</f>
        <v>ED28G112</v>
      </c>
    </row>
    <row r="811" spans="1:5" x14ac:dyDescent="0.25">
      <c r="A811" s="3" t="str">
        <f>"308069"</f>
        <v>308069</v>
      </c>
      <c r="B811" s="4" t="str">
        <f>"81983774928"</f>
        <v>81983774928</v>
      </c>
      <c r="C811" t="str">
        <f>"EVERYDAY COUNTER-SYMPATHY-72850"</f>
        <v>EVERYDAY COUNTER-SYMPATHY-72850</v>
      </c>
      <c r="D811" s="3" t="str">
        <f>"72850"</f>
        <v>72850</v>
      </c>
      <c r="E811" s="3" t="str">
        <f>"ED28G113"</f>
        <v>ED28G113</v>
      </c>
    </row>
    <row r="812" spans="1:5" x14ac:dyDescent="0.25">
      <c r="A812" s="3" t="str">
        <f>"298799"</f>
        <v>298799</v>
      </c>
      <c r="B812" s="4" t="str">
        <f>"81983774355"</f>
        <v>81983774355</v>
      </c>
      <c r="C812" t="str">
        <f>"EVERYDAY COUNTER-SYMPATHY-42537"</f>
        <v>EVERYDAY COUNTER-SYMPATHY-42537</v>
      </c>
      <c r="D812" s="3" t="str">
        <f>"42537"</f>
        <v>42537</v>
      </c>
      <c r="E812" s="3" t="str">
        <f>"ED28G114"</f>
        <v>ED28G114</v>
      </c>
    </row>
    <row r="813" spans="1:5" x14ac:dyDescent="0.25">
      <c r="A813" s="3" t="str">
        <f>"298729"</f>
        <v>298729</v>
      </c>
      <c r="B813" s="4" t="str">
        <f>"81983772221"</f>
        <v>81983772221</v>
      </c>
      <c r="C813" t="str">
        <f>"EVERYDAY COUNTER-SYM-FOR ANYONE-J9934"</f>
        <v>EVERYDAY COUNTER-SYM-FOR ANYONE-J9934</v>
      </c>
      <c r="D813" s="3" t="str">
        <f>"J9934"</f>
        <v>J9934</v>
      </c>
      <c r="E813" s="3" t="str">
        <f>"ED28G115"</f>
        <v>ED28G115</v>
      </c>
    </row>
    <row r="814" spans="1:5" x14ac:dyDescent="0.25">
      <c r="A814" s="3" t="str">
        <f>"298807"</f>
        <v>298807</v>
      </c>
      <c r="B814" s="4" t="str">
        <f>"81983603679"</f>
        <v>81983603679</v>
      </c>
      <c r="C814" t="str">
        <f>"EVERYDAY COUNTER-SYMPATHY-43980"</f>
        <v>EVERYDAY COUNTER-SYMPATHY-43980</v>
      </c>
      <c r="D814" s="3" t="str">
        <f>"43980"</f>
        <v>43980</v>
      </c>
      <c r="E814" s="3" t="str">
        <f>"ED28G116"</f>
        <v>ED28G116</v>
      </c>
    </row>
    <row r="815" spans="1:5" x14ac:dyDescent="0.25">
      <c r="A815" s="3" t="str">
        <f>"308222"</f>
        <v>308222</v>
      </c>
      <c r="B815" s="4" t="str">
        <f>"81983774348"</f>
        <v>81983774348</v>
      </c>
      <c r="C815" t="str">
        <f>"EVERYDAY COUNTER-SYM-ANN OF DEATH PKG/6-92000"</f>
        <v>EVERYDAY COUNTER-SYM-ANN OF DEATH PKG/6-92000</v>
      </c>
      <c r="D815" s="3" t="str">
        <f>"92000"</f>
        <v>92000</v>
      </c>
      <c r="E815" s="3" t="str">
        <f>"ED28G117"</f>
        <v>ED28G117</v>
      </c>
    </row>
    <row r="816" spans="1:5" x14ac:dyDescent="0.25">
      <c r="A816" s="3" t="str">
        <f>"349544"</f>
        <v>349544</v>
      </c>
      <c r="B816" s="4" t="str">
        <f>"81983778377"</f>
        <v>81983778377</v>
      </c>
      <c r="C816" t="str">
        <f>"EVERYDAY COUNTER-BIRTHDAY FOR HER PKG/2"</f>
        <v>EVERYDAY COUNTER-BIRTHDAY FOR HER PKG/2</v>
      </c>
      <c r="D816" s="3" t="s">
        <v>36</v>
      </c>
      <c r="E816" s="3" t="str">
        <f>"ED28HA01"</f>
        <v>ED28HA01</v>
      </c>
    </row>
    <row r="817" spans="1:5" x14ac:dyDescent="0.25">
      <c r="A817" s="3" t="str">
        <f>"349546"</f>
        <v>349546</v>
      </c>
      <c r="B817" s="4" t="str">
        <f>"81983778384"</f>
        <v>81983778384</v>
      </c>
      <c r="C817" t="str">
        <f>"EVERYDAY COUNTER-BIRTHDAY FOR HER PKG/2-U0469"</f>
        <v>EVERYDAY COUNTER-BIRTHDAY FOR HER PKG/2-U0469</v>
      </c>
      <c r="D817" s="3" t="s">
        <v>37</v>
      </c>
      <c r="E817" s="3" t="str">
        <f>"ED28HA02"</f>
        <v>ED28HA02</v>
      </c>
    </row>
    <row r="818" spans="1:5" x14ac:dyDescent="0.25">
      <c r="A818" s="3" t="str">
        <f>"349529"</f>
        <v>349529</v>
      </c>
      <c r="B818" s="4" t="str">
        <f>"81983778476"</f>
        <v>81983778476</v>
      </c>
      <c r="C818" t="str">
        <f>"EVERYDAY COUNTER-BIRTHDAY PKG/6-U0478"</f>
        <v>EVERYDAY COUNTER-BIRTHDAY PKG/6-U0478</v>
      </c>
      <c r="D818" s="3" t="s">
        <v>38</v>
      </c>
      <c r="E818" s="3" t="str">
        <f>"ED28HA03"</f>
        <v>ED28HA03</v>
      </c>
    </row>
    <row r="819" spans="1:5" x14ac:dyDescent="0.25">
      <c r="A819" s="3" t="str">
        <f>"349530"</f>
        <v>349530</v>
      </c>
      <c r="B819" s="4" t="str">
        <f>"81983778483"</f>
        <v>81983778483</v>
      </c>
      <c r="C819" t="str">
        <f>"EVERYDAY COUNTER-BIRTHDAY PKG/6-U0479"</f>
        <v>EVERYDAY COUNTER-BIRTHDAY PKG/6-U0479</v>
      </c>
      <c r="D819" s="3" t="s">
        <v>39</v>
      </c>
      <c r="E819" s="3" t="str">
        <f>"ED28HA04"</f>
        <v>ED28HA04</v>
      </c>
    </row>
    <row r="820" spans="1:5" x14ac:dyDescent="0.25">
      <c r="A820" s="3" t="str">
        <f>"349531"</f>
        <v>349531</v>
      </c>
      <c r="B820" s="4" t="str">
        <f>"81983778490"</f>
        <v>81983778490</v>
      </c>
      <c r="C820" t="str">
        <f>"EVERYDAY COUNTER-BIRTHDAY PKG/6-U0480"</f>
        <v>EVERYDAY COUNTER-BIRTHDAY PKG/6-U0480</v>
      </c>
      <c r="D820" s="3" t="s">
        <v>40</v>
      </c>
      <c r="E820" s="3" t="str">
        <f>"ED28HA05"</f>
        <v>ED28HA05</v>
      </c>
    </row>
    <row r="821" spans="1:5" x14ac:dyDescent="0.25">
      <c r="A821" s="3" t="str">
        <f>"349532"</f>
        <v>349532</v>
      </c>
      <c r="B821" s="4" t="str">
        <f>"81983778506"</f>
        <v>81983778506</v>
      </c>
      <c r="C821" t="str">
        <f>"EVERYDAY COUNTER-BIRTHDAY PKG/6-U0481"</f>
        <v>EVERYDAY COUNTER-BIRTHDAY PKG/6-U0481</v>
      </c>
      <c r="D821" s="3" t="s">
        <v>41</v>
      </c>
      <c r="E821" s="3" t="str">
        <f>"ED28HA06"</f>
        <v>ED28HA06</v>
      </c>
    </row>
    <row r="822" spans="1:5" x14ac:dyDescent="0.25">
      <c r="A822" s="3" t="str">
        <f>"349533"</f>
        <v>349533</v>
      </c>
      <c r="B822" s="4" t="str">
        <f>"81983778513"</f>
        <v>81983778513</v>
      </c>
      <c r="C822" t="str">
        <f>"EVERYDAY COUNTER-BIRTHDAY PKG/6-U0482"</f>
        <v>EVERYDAY COUNTER-BIRTHDAY PKG/6-U0482</v>
      </c>
      <c r="D822" s="3" t="s">
        <v>42</v>
      </c>
      <c r="E822" s="3" t="str">
        <f>"ED28HA07"</f>
        <v>ED28HA07</v>
      </c>
    </row>
    <row r="823" spans="1:5" x14ac:dyDescent="0.25">
      <c r="A823" s="3" t="str">
        <f>"349534"</f>
        <v>349534</v>
      </c>
      <c r="B823" s="4" t="str">
        <f>"81983778520"</f>
        <v>81983778520</v>
      </c>
      <c r="C823" t="str">
        <f>"EVERYDAY COUNTER-BIRTHDAY PKG/6-U0483"</f>
        <v>EVERYDAY COUNTER-BIRTHDAY PKG/6-U0483</v>
      </c>
      <c r="D823" s="3" t="s">
        <v>43</v>
      </c>
      <c r="E823" s="3" t="str">
        <f>"ED28HA08"</f>
        <v>ED28HA08</v>
      </c>
    </row>
    <row r="824" spans="1:5" x14ac:dyDescent="0.25">
      <c r="A824" s="3" t="str">
        <f>"380078"</f>
        <v>380078</v>
      </c>
      <c r="B824" s="4" t="str">
        <f>"81983778353"</f>
        <v>81983778353</v>
      </c>
      <c r="C824" t="str">
        <f>"EVERYDAY COUNTER-BIRTHDAY FOR HIM PREMIUM (PACK OF 2)-U0466"</f>
        <v>EVERYDAY COUNTER-BIRTHDAY FOR HIM PREMIUM (PACK OF 2)-U0466</v>
      </c>
      <c r="D824" s="3" t="str">
        <f>"U0466"</f>
        <v>U0466</v>
      </c>
      <c r="E824" s="3" t="str">
        <f>"ED28HB01"</f>
        <v>ED28HB01</v>
      </c>
    </row>
    <row r="825" spans="1:5" x14ac:dyDescent="0.25">
      <c r="A825" s="3" t="str">
        <f>"349547"</f>
        <v>349547</v>
      </c>
      <c r="B825" s="4" t="str">
        <f>"81983778360"</f>
        <v>81983778360</v>
      </c>
      <c r="C825" t="str">
        <f>"EVERYDAY COUNTER-BIRTHDAY FOR HIM PKG/2"</f>
        <v>EVERYDAY COUNTER-BIRTHDAY FOR HIM PKG/2</v>
      </c>
      <c r="D825" s="3" t="str">
        <f>"U0467"</f>
        <v>U0467</v>
      </c>
      <c r="E825" s="3" t="str">
        <f>"ED28HB02"</f>
        <v>ED28HB02</v>
      </c>
    </row>
    <row r="826" spans="1:5" x14ac:dyDescent="0.25">
      <c r="A826" s="3" t="str">
        <f>"349538"</f>
        <v>349538</v>
      </c>
      <c r="B826" s="4" t="str">
        <f>"81983778537"</f>
        <v>81983778537</v>
      </c>
      <c r="C826" t="str">
        <f>"EVERYDAY COUNTER-BIRTHDAY PKG/6-U0484"</f>
        <v>EVERYDAY COUNTER-BIRTHDAY PKG/6-U0484</v>
      </c>
      <c r="D826" s="3" t="str">
        <f>"U0484"</f>
        <v>U0484</v>
      </c>
      <c r="E826" s="3" t="str">
        <f>"ED28HB03"</f>
        <v>ED28HB03</v>
      </c>
    </row>
    <row r="827" spans="1:5" x14ac:dyDescent="0.25">
      <c r="A827" s="3" t="str">
        <f>"349536"</f>
        <v>349536</v>
      </c>
      <c r="B827" s="4" t="str">
        <f>"81983778544"</f>
        <v>81983778544</v>
      </c>
      <c r="C827" t="str">
        <f>"EVERYDAY COUNTER-BIRTHDAY PKG/6-U0485"</f>
        <v>EVERYDAY COUNTER-BIRTHDAY PKG/6-U0485</v>
      </c>
      <c r="D827" s="3" t="str">
        <f>"U0485"</f>
        <v>U0485</v>
      </c>
      <c r="E827" s="3" t="str">
        <f>"ED28HB04"</f>
        <v>ED28HB04</v>
      </c>
    </row>
    <row r="828" spans="1:5" x14ac:dyDescent="0.25">
      <c r="A828" s="3" t="str">
        <f>"349535"</f>
        <v>349535</v>
      </c>
      <c r="B828" s="4" t="str">
        <f>"81983778551"</f>
        <v>81983778551</v>
      </c>
      <c r="C828" t="str">
        <f>"EVERYDAY COUNTER-BIRTHDAY PKG/6-U0486"</f>
        <v>EVERYDAY COUNTER-BIRTHDAY PKG/6-U0486</v>
      </c>
      <c r="D828" s="3" t="str">
        <f>"U0486"</f>
        <v>U0486</v>
      </c>
      <c r="E828" s="3" t="str">
        <f>"ED28HB05"</f>
        <v>ED28HB05</v>
      </c>
    </row>
    <row r="829" spans="1:5" x14ac:dyDescent="0.25">
      <c r="A829" s="3" t="str">
        <f>"349537"</f>
        <v>349537</v>
      </c>
      <c r="B829" s="4" t="str">
        <f>"81983778568"</f>
        <v>81983778568</v>
      </c>
      <c r="C829" t="str">
        <f>"EVERYDAY COUNTER-BIRTHDAY PKG/6-U0487"</f>
        <v>EVERYDAY COUNTER-BIRTHDAY PKG/6-U0487</v>
      </c>
      <c r="D829" s="3" t="str">
        <f>"U0487"</f>
        <v>U0487</v>
      </c>
      <c r="E829" s="3" t="str">
        <f>"ED28HB06"</f>
        <v>ED28HB06</v>
      </c>
    </row>
    <row r="830" spans="1:5" x14ac:dyDescent="0.25">
      <c r="A830" s="3" t="str">
        <f>"349539"</f>
        <v>349539</v>
      </c>
      <c r="B830" s="4" t="str">
        <f>"81983778575"</f>
        <v>81983778575</v>
      </c>
      <c r="C830" t="str">
        <f>"EVERYDAY COUNTER-BIRTHDAY PKG/6-U0488"</f>
        <v>EVERYDAY COUNTER-BIRTHDAY PKG/6-U0488</v>
      </c>
      <c r="D830" s="3" t="str">
        <f>"U0488"</f>
        <v>U0488</v>
      </c>
      <c r="E830" s="3" t="str">
        <f>"ED28HB07"</f>
        <v>ED28HB07</v>
      </c>
    </row>
    <row r="831" spans="1:5" x14ac:dyDescent="0.25">
      <c r="A831" s="3" t="str">
        <f>"349540"</f>
        <v>349540</v>
      </c>
      <c r="B831" s="4" t="str">
        <f>"81983778582"</f>
        <v>81983778582</v>
      </c>
      <c r="C831" t="str">
        <f>"EVERYDAY COUNTER-BIRTHDAY PKG/6-U0489"</f>
        <v>EVERYDAY COUNTER-BIRTHDAY PKG/6-U0489</v>
      </c>
      <c r="D831" s="3" t="str">
        <f>"U0489"</f>
        <v>U0489</v>
      </c>
      <c r="E831" s="3" t="str">
        <f>"ED28HB08"</f>
        <v>ED28HB08</v>
      </c>
    </row>
    <row r="832" spans="1:5" x14ac:dyDescent="0.25">
      <c r="A832" s="3" t="str">
        <f>"349541"</f>
        <v>349541</v>
      </c>
      <c r="B832" s="4" t="str">
        <f>"81983778391"</f>
        <v>81983778391</v>
      </c>
      <c r="C832" t="str">
        <f>"EVERYDAY COUNTER-BIRTHDAY PKG/2-U0470"</f>
        <v>EVERYDAY COUNTER-BIRTHDAY PKG/2-U0470</v>
      </c>
      <c r="D832" s="3" t="s">
        <v>44</v>
      </c>
      <c r="E832" s="3" t="str">
        <f>"ED28HC01"</f>
        <v>ED28HC01</v>
      </c>
    </row>
    <row r="833" spans="1:5" x14ac:dyDescent="0.25">
      <c r="A833" s="3" t="str">
        <f>"349542"</f>
        <v>349542</v>
      </c>
      <c r="B833" s="4" t="str">
        <f>"81983778407"</f>
        <v>81983778407</v>
      </c>
      <c r="C833" t="str">
        <f>"EVERYDAY COUNTER-BIRTHDAY PKG/2-U0471"</f>
        <v>EVERYDAY COUNTER-BIRTHDAY PKG/2-U0471</v>
      </c>
      <c r="D833" s="3" t="s">
        <v>45</v>
      </c>
      <c r="E833" s="3" t="str">
        <f>"ED28HC02"</f>
        <v>ED28HC02</v>
      </c>
    </row>
    <row r="834" spans="1:5" x14ac:dyDescent="0.25">
      <c r="A834" s="3" t="str">
        <f>"349543"</f>
        <v>349543</v>
      </c>
      <c r="B834" s="4" t="str">
        <f>"81983778414"</f>
        <v>81983778414</v>
      </c>
      <c r="C834" t="str">
        <f>"EVERYDAY COUNTER-BIRTHDAY PKG/2-U0472"</f>
        <v>EVERYDAY COUNTER-BIRTHDAY PKG/2-U0472</v>
      </c>
      <c r="D834" s="3" t="s">
        <v>46</v>
      </c>
      <c r="E834" s="3" t="str">
        <f>"ED28HC03"</f>
        <v>ED28HC03</v>
      </c>
    </row>
    <row r="835" spans="1:5" x14ac:dyDescent="0.25">
      <c r="A835" s="3" t="str">
        <f>"349545"</f>
        <v>349545</v>
      </c>
      <c r="B835" s="4" t="str">
        <f>"81983778421"</f>
        <v>81983778421</v>
      </c>
      <c r="C835" t="str">
        <f>"EVERYDAY COUNTER-BIRTHDAY PKG/2-U0473"</f>
        <v>EVERYDAY COUNTER-BIRTHDAY PKG/2-U0473</v>
      </c>
      <c r="D835" s="3" t="s">
        <v>47</v>
      </c>
      <c r="E835" s="3" t="str">
        <f>"ED28HC04"</f>
        <v>ED28HC04</v>
      </c>
    </row>
    <row r="836" spans="1:5" x14ac:dyDescent="0.25">
      <c r="A836" s="3" t="str">
        <f>"349525"</f>
        <v>349525</v>
      </c>
      <c r="B836" s="4" t="str">
        <f>"81983778438"</f>
        <v>81983778438</v>
      </c>
      <c r="C836" t="str">
        <f>"EVERYDAY COUNTER-BIRTHDAY PKG/6-U0474"</f>
        <v>EVERYDAY COUNTER-BIRTHDAY PKG/6-U0474</v>
      </c>
      <c r="D836" s="3" t="s">
        <v>48</v>
      </c>
      <c r="E836" s="3" t="str">
        <f>"ED28HC05"</f>
        <v>ED28HC05</v>
      </c>
    </row>
    <row r="837" spans="1:5" x14ac:dyDescent="0.25">
      <c r="A837" s="3" t="str">
        <f>"349526"</f>
        <v>349526</v>
      </c>
      <c r="B837" s="4" t="str">
        <f>"81983778445"</f>
        <v>81983778445</v>
      </c>
      <c r="C837" t="str">
        <f>"EVERYDAY COUNTER-BIRTHDAY PKG/6-U0475"</f>
        <v>EVERYDAY COUNTER-BIRTHDAY PKG/6-U0475</v>
      </c>
      <c r="D837" s="3" t="s">
        <v>49</v>
      </c>
      <c r="E837" s="3" t="str">
        <f>"ED28HC06"</f>
        <v>ED28HC06</v>
      </c>
    </row>
    <row r="838" spans="1:5" x14ac:dyDescent="0.25">
      <c r="A838" s="3" t="str">
        <f>"349527"</f>
        <v>349527</v>
      </c>
      <c r="B838" s="4" t="str">
        <f>"81983778452"</f>
        <v>81983778452</v>
      </c>
      <c r="C838" t="str">
        <f>"EVERYDAY COUNTER-BIRTHDAY PKG/6-U0476"</f>
        <v>EVERYDAY COUNTER-BIRTHDAY PKG/6-U0476</v>
      </c>
      <c r="D838" s="3" t="s">
        <v>50</v>
      </c>
      <c r="E838" s="3" t="str">
        <f>"ED28HC07"</f>
        <v>ED28HC07</v>
      </c>
    </row>
    <row r="839" spans="1:5" x14ac:dyDescent="0.25">
      <c r="A839" s="3" t="str">
        <f>"349528"</f>
        <v>349528</v>
      </c>
      <c r="B839" s="4" t="str">
        <f>"81983778469"</f>
        <v>81983778469</v>
      </c>
      <c r="C839" t="str">
        <f>"EVERYDAY COUNTER-BIRTHDAY PKG/6-U0477"</f>
        <v>EVERYDAY COUNTER-BIRTHDAY PKG/6-U0477</v>
      </c>
      <c r="D839" s="3" t="s">
        <v>51</v>
      </c>
      <c r="E839" s="3" t="str">
        <f>"ED28HC08"</f>
        <v>ED28HC08</v>
      </c>
    </row>
    <row r="840" spans="1:5" x14ac:dyDescent="0.25">
      <c r="A840" s="3" t="str">
        <f>"345277"</f>
        <v>345277</v>
      </c>
      <c r="B840" s="4" t="str">
        <f>"81983794643"</f>
        <v>81983794643</v>
      </c>
      <c r="C840" t="str">
        <f>"EVERYDAY COUNTER-WEDDING PKG/6-U2683"</f>
        <v>EVERYDAY COUNTER-WEDDING PKG/6-U2683</v>
      </c>
      <c r="D840" s="3" t="str">
        <f>"U2683"</f>
        <v>U2683</v>
      </c>
      <c r="E840" s="3" t="str">
        <f>"ED28HD01"</f>
        <v>ED28HD01</v>
      </c>
    </row>
    <row r="841" spans="1:5" x14ac:dyDescent="0.25">
      <c r="A841" s="3" t="str">
        <f>"345276"</f>
        <v>345276</v>
      </c>
      <c r="B841" s="4" t="str">
        <f>"81983794636"</f>
        <v>81983794636</v>
      </c>
      <c r="C841" t="str">
        <f>"EVERYDAY COUNTER-WEDDING PKG/6-U2682"</f>
        <v>EVERYDAY COUNTER-WEDDING PKG/6-U2682</v>
      </c>
      <c r="D841" s="3" t="str">
        <f>"U2682"</f>
        <v>U2682</v>
      </c>
      <c r="E841" s="3" t="str">
        <f>"ED28HD02"</f>
        <v>ED28HD02</v>
      </c>
    </row>
    <row r="842" spans="1:5" x14ac:dyDescent="0.25">
      <c r="A842" s="3" t="str">
        <f>"345275"</f>
        <v>345275</v>
      </c>
      <c r="B842" s="4" t="str">
        <f>"81983794629"</f>
        <v>81983794629</v>
      </c>
      <c r="C842" t="str">
        <f>"EVERYDAY COUNTER-WEDDING PKG/6-U2681"</f>
        <v>EVERYDAY COUNTER-WEDDING PKG/6-U2681</v>
      </c>
      <c r="D842" s="3" t="str">
        <f>"U2681"</f>
        <v>U2681</v>
      </c>
      <c r="E842" s="3" t="str">
        <f>"ED28HD03"</f>
        <v>ED28HD03</v>
      </c>
    </row>
    <row r="843" spans="1:5" x14ac:dyDescent="0.25">
      <c r="A843" s="3" t="str">
        <f>"401615"</f>
        <v>401615</v>
      </c>
      <c r="B843" s="4" t="str">
        <f>"81983768545"</f>
        <v>81983768545</v>
      </c>
      <c r="C843" t="str">
        <f>"EVERYDAY COUNTER-WEDDING-HL PREMIUM (PACK OF 2)-J9574"</f>
        <v>EVERYDAY COUNTER-WEDDING-HL PREMIUM (PACK OF 2)-J9574</v>
      </c>
      <c r="D843" s="3" t="str">
        <f>"J9574"</f>
        <v>J9574</v>
      </c>
      <c r="E843" s="3" t="str">
        <f>"ED28HD04"</f>
        <v>ED28HD04</v>
      </c>
    </row>
    <row r="844" spans="1:5" x14ac:dyDescent="0.25">
      <c r="A844" s="3" t="str">
        <f>"345224"</f>
        <v>345224</v>
      </c>
      <c r="B844" s="4" t="str">
        <f>"81983788994"</f>
        <v>81983788994</v>
      </c>
      <c r="C844" t="str">
        <f>"EVERYDAY COUNTER-WEDDING-PREMIUM PKG/2"</f>
        <v>EVERYDAY COUNTER-WEDDING-PREMIUM PKG/2</v>
      </c>
      <c r="D844" s="3" t="str">
        <f>"U1985"</f>
        <v>U1985</v>
      </c>
      <c r="E844" s="3" t="str">
        <f>"ED28HD05"</f>
        <v>ED28HD05</v>
      </c>
    </row>
    <row r="845" spans="1:5" x14ac:dyDescent="0.25">
      <c r="A845" s="3" t="str">
        <f>"345226"</f>
        <v>345226</v>
      </c>
      <c r="B845" s="4" t="str">
        <f>"81983789014"</f>
        <v>81983789014</v>
      </c>
      <c r="C845" t="str">
        <f>"EVERYDAY COUNTER-WEDDING-PREMIUM PKG/2"</f>
        <v>EVERYDAY COUNTER-WEDDING-PREMIUM PKG/2</v>
      </c>
      <c r="D845" s="3" t="str">
        <f>"U1987"</f>
        <v>U1987</v>
      </c>
      <c r="E845" s="3" t="str">
        <f>"ED28HD06"</f>
        <v>ED28HD06</v>
      </c>
    </row>
    <row r="846" spans="1:5" x14ac:dyDescent="0.25">
      <c r="A846" s="3" t="str">
        <f>"345225"</f>
        <v>345225</v>
      </c>
      <c r="B846" s="4" t="str">
        <f>"81983789007"</f>
        <v>81983789007</v>
      </c>
      <c r="C846" t="str">
        <f>"EVERYDAY COUNTER-WEDDING-PREMIUM PKG/2"</f>
        <v>EVERYDAY COUNTER-WEDDING-PREMIUM PKG/2</v>
      </c>
      <c r="D846" s="3" t="str">
        <f>"U1986"</f>
        <v>U1986</v>
      </c>
      <c r="E846" s="3" t="str">
        <f>"ED28HD07"</f>
        <v>ED28HD07</v>
      </c>
    </row>
    <row r="847" spans="1:5" x14ac:dyDescent="0.25">
      <c r="A847" s="3" t="str">
        <f>"345274"</f>
        <v>345274</v>
      </c>
      <c r="B847" s="4" t="str">
        <f>"81983794612"</f>
        <v>81983794612</v>
      </c>
      <c r="C847" t="str">
        <f>"EVERYDAY COUNTER-WEDDING PKG/6-U2680"</f>
        <v>EVERYDAY COUNTER-WEDDING PKG/6-U2680</v>
      </c>
      <c r="D847" s="3" t="str">
        <f>"U2680"</f>
        <v>U2680</v>
      </c>
      <c r="E847" s="3" t="str">
        <f>"ED28HD08"</f>
        <v>ED28HD08</v>
      </c>
    </row>
    <row r="848" spans="1:5" x14ac:dyDescent="0.25">
      <c r="A848" s="3" t="str">
        <f>"374842"</f>
        <v>374842</v>
      </c>
      <c r="B848" s="4" t="str">
        <f>"081983789069"</f>
        <v>081983789069</v>
      </c>
      <c r="C848" t="str">
        <f>"EVERYDAY COUNTER-CONGRATULATIONS-PREMIUM PKG/2"</f>
        <v>EVERYDAY COUNTER-CONGRATULATIONS-PREMIUM PKG/2</v>
      </c>
      <c r="D848" s="3" t="str">
        <f>"U1992"</f>
        <v>U1992</v>
      </c>
      <c r="E848" s="3" t="str">
        <f>"ED28HE01"</f>
        <v>ED28HE01</v>
      </c>
    </row>
    <row r="849" spans="1:5" x14ac:dyDescent="0.25">
      <c r="A849" s="3" t="str">
        <f>"345230"</f>
        <v>345230</v>
      </c>
      <c r="B849" s="4" t="str">
        <f>"81983789052"</f>
        <v>81983789052</v>
      </c>
      <c r="C849" t="str">
        <f>"EVERYDAY COUNTER-CONGRATULATIONS-PREMIUM PKG/2"</f>
        <v>EVERYDAY COUNTER-CONGRATULATIONS-PREMIUM PKG/2</v>
      </c>
      <c r="D849" s="3" t="str">
        <f>"U1991"</f>
        <v>U1991</v>
      </c>
      <c r="E849" s="3" t="str">
        <f>"ED28HE02"</f>
        <v>ED28HE02</v>
      </c>
    </row>
    <row r="850" spans="1:5" x14ac:dyDescent="0.25">
      <c r="A850" s="3" t="str">
        <f>"345228"</f>
        <v>345228</v>
      </c>
      <c r="B850" s="4" t="str">
        <f>"81983789045"</f>
        <v>81983789045</v>
      </c>
      <c r="C850" t="str">
        <f>"EVERYDAY COUNTER-CONGRATULATIONS-PREMIUM PKG/2"</f>
        <v>EVERYDAY COUNTER-CONGRATULATIONS-PREMIUM PKG/2</v>
      </c>
      <c r="D850" s="3" t="str">
        <f>"U1990"</f>
        <v>U1990</v>
      </c>
      <c r="E850" s="3" t="str">
        <f>"ED28HE03"</f>
        <v>ED28HE03</v>
      </c>
    </row>
    <row r="851" spans="1:5" x14ac:dyDescent="0.25">
      <c r="A851" s="3" t="str">
        <f>"345271"</f>
        <v>345271</v>
      </c>
      <c r="B851" s="4" t="str">
        <f>"81983794582"</f>
        <v>81983794582</v>
      </c>
      <c r="C851" t="str">
        <f>"EVERYDAY COUNTER-CONGRATULATIONS/BABY SHOWER PKG/6"</f>
        <v>EVERYDAY COUNTER-CONGRATULATIONS/BABY SHOWER PKG/6</v>
      </c>
      <c r="D851" s="3" t="str">
        <f>"U2677"</f>
        <v>U2677</v>
      </c>
      <c r="E851" s="3" t="str">
        <f>"ED28HE04"</f>
        <v>ED28HE04</v>
      </c>
    </row>
    <row r="852" spans="1:5" x14ac:dyDescent="0.25">
      <c r="A852" s="3" t="str">
        <f>"345273"</f>
        <v>345273</v>
      </c>
      <c r="B852" s="4" t="str">
        <f>"81983794605"</f>
        <v>81983794605</v>
      </c>
      <c r="C852" t="str">
        <f>"EVERYDAY COUNTER-CONGRATULATIONS GRADUATE PKG/6"</f>
        <v>EVERYDAY COUNTER-CONGRATULATIONS GRADUATE PKG/6</v>
      </c>
      <c r="D852" s="3" t="str">
        <f>"U2679"</f>
        <v>U2679</v>
      </c>
      <c r="E852" s="3" t="str">
        <f>"ED28HE05"</f>
        <v>ED28HE05</v>
      </c>
    </row>
    <row r="853" spans="1:5" x14ac:dyDescent="0.25">
      <c r="A853" s="3" t="str">
        <f>"345272"</f>
        <v>345272</v>
      </c>
      <c r="B853" s="4" t="str">
        <f>"81983794599"</f>
        <v>81983794599</v>
      </c>
      <c r="C853" t="str">
        <f>"EVERYDAY COUNTER-CONGRATULATIONS GRADUATE PKG/6"</f>
        <v>EVERYDAY COUNTER-CONGRATULATIONS GRADUATE PKG/6</v>
      </c>
      <c r="D853" s="3" t="str">
        <f>"U2678"</f>
        <v>U2678</v>
      </c>
      <c r="E853" s="3" t="str">
        <f>"ED28HE06"</f>
        <v>ED28HE06</v>
      </c>
    </row>
    <row r="854" spans="1:5" x14ac:dyDescent="0.25">
      <c r="A854" s="3" t="str">
        <f>"345227"</f>
        <v>345227</v>
      </c>
      <c r="B854" s="4" t="str">
        <f>"81983789038"</f>
        <v>81983789038</v>
      </c>
      <c r="C854" t="str">
        <f>"EVERYDAY COUNTER-BABY CONGRATS-PREMIUM PKG/2"</f>
        <v>EVERYDAY COUNTER-BABY CONGRATS-PREMIUM PKG/2</v>
      </c>
      <c r="D854" s="3" t="str">
        <f>"U1989"</f>
        <v>U1989</v>
      </c>
      <c r="E854" s="3" t="str">
        <f>"ED28HE07"</f>
        <v>ED28HE07</v>
      </c>
    </row>
    <row r="855" spans="1:5" x14ac:dyDescent="0.25">
      <c r="A855" s="3" t="str">
        <f>"345270"</f>
        <v>345270</v>
      </c>
      <c r="B855" s="4" t="str">
        <f>"81983794575"</f>
        <v>81983794575</v>
      </c>
      <c r="C855" t="str">
        <f>"EVERYDAY COUNTER-CONGRATULATIONS BABY PKG/6"</f>
        <v>EVERYDAY COUNTER-CONGRATULATIONS BABY PKG/6</v>
      </c>
      <c r="D855" s="3" t="str">
        <f>"U2676"</f>
        <v>U2676</v>
      </c>
      <c r="E855" s="3" t="str">
        <f>"ED28HE08"</f>
        <v>ED28HE08</v>
      </c>
    </row>
    <row r="856" spans="1:5" x14ac:dyDescent="0.25">
      <c r="A856" s="3" t="str">
        <f>"345278"</f>
        <v>345278</v>
      </c>
      <c r="B856" s="4" t="str">
        <f>"81983794650"</f>
        <v>81983794650</v>
      </c>
      <c r="C856" t="str">
        <f>"EVERYDAY COUNTER-ENCOURAGEMENT PKG/6-U2684"</f>
        <v>EVERYDAY COUNTER-ENCOURAGEMENT PKG/6-U2684</v>
      </c>
      <c r="D856" s="3" t="s">
        <v>52</v>
      </c>
      <c r="E856" s="3" t="str">
        <f>"ED28HF01"</f>
        <v>ED28HF01</v>
      </c>
    </row>
    <row r="857" spans="1:5" x14ac:dyDescent="0.25">
      <c r="A857" s="3" t="str">
        <f>"345279"</f>
        <v>345279</v>
      </c>
      <c r="B857" s="4" t="str">
        <f>"81983794667"</f>
        <v>81983794667</v>
      </c>
      <c r="C857" t="str">
        <f>"EVERYDAY COUNTER-ENCOURAGEMENT PKG/6-U2685"</f>
        <v>EVERYDAY COUNTER-ENCOURAGEMENT PKG/6-U2685</v>
      </c>
      <c r="D857" s="3" t="s">
        <v>53</v>
      </c>
      <c r="E857" s="3" t="str">
        <f>"ED28HF02"</f>
        <v>ED28HF02</v>
      </c>
    </row>
    <row r="858" spans="1:5" x14ac:dyDescent="0.25">
      <c r="A858" s="3" t="str">
        <f>"345280"</f>
        <v>345280</v>
      </c>
      <c r="B858" s="4" t="str">
        <f>"81983794674"</f>
        <v>81983794674</v>
      </c>
      <c r="C858" t="str">
        <f>"EVERYDAY COUNTER-ENCOURAGEMENT PKG/6-U2686"</f>
        <v>EVERYDAY COUNTER-ENCOURAGEMENT PKG/6-U2686</v>
      </c>
      <c r="D858" s="3" t="s">
        <v>54</v>
      </c>
      <c r="E858" s="3" t="str">
        <f>"ED28HF03"</f>
        <v>ED28HF03</v>
      </c>
    </row>
    <row r="859" spans="1:5" x14ac:dyDescent="0.25">
      <c r="A859" s="3" t="str">
        <f>"345281"</f>
        <v>345281</v>
      </c>
      <c r="B859" s="4" t="str">
        <f>"81983794681"</f>
        <v>81983794681</v>
      </c>
      <c r="C859" t="str">
        <f>"EVERYDAY COUNTER-ENCOURAGEMENT PKG/6-U2687"</f>
        <v>EVERYDAY COUNTER-ENCOURAGEMENT PKG/6-U2687</v>
      </c>
      <c r="D859" s="3" t="s">
        <v>55</v>
      </c>
      <c r="E859" s="3" t="str">
        <f>"ED28HF04"</f>
        <v>ED28HF04</v>
      </c>
    </row>
    <row r="860" spans="1:5" x14ac:dyDescent="0.25">
      <c r="A860" s="3" t="str">
        <f>"345282"</f>
        <v>345282</v>
      </c>
      <c r="B860" s="4" t="str">
        <f>"81983794698"</f>
        <v>81983794698</v>
      </c>
      <c r="C860" t="str">
        <f>"EVERYDAY COUNTER-ENCOURAGEMENT PKG/6-U2688"</f>
        <v>EVERYDAY COUNTER-ENCOURAGEMENT PKG/6-U2688</v>
      </c>
      <c r="D860" s="3" t="s">
        <v>56</v>
      </c>
      <c r="E860" s="3" t="str">
        <f>"ED28HF05"</f>
        <v>ED28HF05</v>
      </c>
    </row>
    <row r="861" spans="1:5" x14ac:dyDescent="0.25">
      <c r="A861" s="3" t="str">
        <f>"345283"</f>
        <v>345283</v>
      </c>
      <c r="B861" s="4" t="str">
        <f>"81983794704"</f>
        <v>81983794704</v>
      </c>
      <c r="C861" t="str">
        <f>"EVERYDAY COUNTER-ENCOURAGEMENT PKG/6-U2689"</f>
        <v>EVERYDAY COUNTER-ENCOURAGEMENT PKG/6-U2689</v>
      </c>
      <c r="D861" s="3" t="s">
        <v>57</v>
      </c>
      <c r="E861" s="3" t="str">
        <f>"ED28HF06"</f>
        <v>ED28HF06</v>
      </c>
    </row>
    <row r="862" spans="1:5" x14ac:dyDescent="0.25">
      <c r="A862" s="3" t="str">
        <f>"345284"</f>
        <v>345284</v>
      </c>
      <c r="B862" s="4" t="str">
        <f>"81983794711"</f>
        <v>81983794711</v>
      </c>
      <c r="C862" t="str">
        <f>"EVERYDAY COUNTER-ENCOURAGEMENT PKG/6-U2690"</f>
        <v>EVERYDAY COUNTER-ENCOURAGEMENT PKG/6-U2690</v>
      </c>
      <c r="D862" s="3" t="s">
        <v>58</v>
      </c>
      <c r="E862" s="3" t="str">
        <f>"ED28HF07"</f>
        <v>ED28HF07</v>
      </c>
    </row>
    <row r="863" spans="1:5" x14ac:dyDescent="0.25">
      <c r="A863" s="3" t="str">
        <f>"345285"</f>
        <v>345285</v>
      </c>
      <c r="B863" s="4" t="str">
        <f>"81983794728"</f>
        <v>81983794728</v>
      </c>
      <c r="C863" t="str">
        <f>"EVERYDAY COUNTER-ENCOURAGEMENT PKG/6-U2691"</f>
        <v>EVERYDAY COUNTER-ENCOURAGEMENT PKG/6-U2691</v>
      </c>
      <c r="D863" s="3" t="s">
        <v>59</v>
      </c>
      <c r="E863" s="3" t="str">
        <f>"ED28HF08"</f>
        <v>ED28HF08</v>
      </c>
    </row>
    <row r="864" spans="1:5" x14ac:dyDescent="0.25">
      <c r="A864" s="3" t="str">
        <f>"308432"</f>
        <v>308432</v>
      </c>
      <c r="B864" s="4" t="str">
        <f>"81983720574"</f>
        <v>81983720574</v>
      </c>
      <c r="C864" t="str">
        <f>"EVERYDAY COUNTER-HL - SYMPATHY/CACTUS PKG/6-J3303"</f>
        <v>EVERYDAY COUNTER-HL - SYMPATHY/CACTUS PKG/6-J3303</v>
      </c>
      <c r="D864" s="3" t="str">
        <f>"J3303"</f>
        <v>J3303</v>
      </c>
      <c r="E864" s="3" t="str">
        <f>"ED28HG01"</f>
        <v>ED28HG01</v>
      </c>
    </row>
    <row r="865" spans="1:5" x14ac:dyDescent="0.25">
      <c r="A865" s="3" t="str">
        <f>"308427"</f>
        <v>308427</v>
      </c>
      <c r="B865" s="4" t="str">
        <f>"81983720529"</f>
        <v>81983720529</v>
      </c>
      <c r="C865" t="str">
        <f>"EVERYDAY COUNTER-HL - SYMPATHY LOSS OF MOM/PURPLE FLOWERS PKG/6-J3298"</f>
        <v>EVERYDAY COUNTER-HL - SYMPATHY LOSS OF MOM/PURPLE FLOWERS PKG/6-J3298</v>
      </c>
      <c r="D865" s="3" t="str">
        <f>"J3298"</f>
        <v>J3298</v>
      </c>
      <c r="E865" s="3" t="str">
        <f>"ED28HG02"</f>
        <v>ED28HG02</v>
      </c>
    </row>
    <row r="866" spans="1:5" x14ac:dyDescent="0.25">
      <c r="A866" s="3" t="str">
        <f>"308426"</f>
        <v>308426</v>
      </c>
      <c r="B866" s="4" t="str">
        <f>"81983720512"</f>
        <v>81983720512</v>
      </c>
      <c r="C866" t="str">
        <f>"EVERYDAY COUNTER-HL - SYMPATHY LOSS OF DAD/HONORING PKG/6-J3297"</f>
        <v>EVERYDAY COUNTER-HL - SYMPATHY LOSS OF DAD/HONORING PKG/6-J3297</v>
      </c>
      <c r="D866" s="3" t="str">
        <f>"J3297"</f>
        <v>J3297</v>
      </c>
      <c r="E866" s="3" t="str">
        <f>"ED28HG03"</f>
        <v>ED28HG03</v>
      </c>
    </row>
    <row r="867" spans="1:5" x14ac:dyDescent="0.25">
      <c r="A867" s="3" t="str">
        <f>"308433"</f>
        <v>308433</v>
      </c>
      <c r="B867" s="4" t="str">
        <f>"81983720581"</f>
        <v>81983720581</v>
      </c>
      <c r="C867" t="str">
        <f>"EVERYDAY COUNTER-HL - SYMPATHY/COUNT ME IN PKG/6-J3304"</f>
        <v>EVERYDAY COUNTER-HL - SYMPATHY/COUNT ME IN PKG/6-J3304</v>
      </c>
      <c r="D867" s="3" t="str">
        <f>"J3304"</f>
        <v>J3304</v>
      </c>
      <c r="E867" s="3" t="str">
        <f>"ED28HG04"</f>
        <v>ED28HG04</v>
      </c>
    </row>
    <row r="868" spans="1:5" x14ac:dyDescent="0.25">
      <c r="A868" s="3" t="str">
        <f>"308430"</f>
        <v>308430</v>
      </c>
      <c r="B868" s="4" t="str">
        <f>"81983720550"</f>
        <v>81983720550</v>
      </c>
      <c r="C868" t="str">
        <f>"EVERYDAY COUNTER-HL - SYMPATHY LOSS OF HUSBAND/REMEMBERED PKG/6-J3301"</f>
        <v>EVERYDAY COUNTER-HL - SYMPATHY LOSS OF HUSBAND/REMEMBERED PKG/6-J3301</v>
      </c>
      <c r="D868" s="3" t="str">
        <f>"J3301"</f>
        <v>J3301</v>
      </c>
      <c r="E868" s="3" t="str">
        <f>"ED28HG05"</f>
        <v>ED28HG05</v>
      </c>
    </row>
    <row r="869" spans="1:5" x14ac:dyDescent="0.25">
      <c r="A869" s="3" t="str">
        <f>"308431"</f>
        <v>308431</v>
      </c>
      <c r="B869" s="4" t="str">
        <f>"81983720567"</f>
        <v>81983720567</v>
      </c>
      <c r="C869" t="str">
        <f>"EVERYDAY COUNTER-HL - SYMPATHY LOSS OF WIFE/SPECIAL PERSON PKG/6-J3302"</f>
        <v>EVERYDAY COUNTER-HL - SYMPATHY LOSS OF WIFE/SPECIAL PERSON PKG/6-J3302</v>
      </c>
      <c r="D869" s="3" t="str">
        <f>"J3302"</f>
        <v>J3302</v>
      </c>
      <c r="E869" s="3" t="str">
        <f>"ED28HG06"</f>
        <v>ED28HG06</v>
      </c>
    </row>
    <row r="870" spans="1:5" x14ac:dyDescent="0.25">
      <c r="A870" s="3" t="str">
        <f>"308429"</f>
        <v>308429</v>
      </c>
      <c r="B870" s="4" t="str">
        <f>"81983720543"</f>
        <v>81983720543</v>
      </c>
      <c r="C870" t="str">
        <f>"EVERYDAY COUNTER-HL - SYMPATHY LOSS OF SON/PLANTERS PKG/6-J3300"</f>
        <v>EVERYDAY COUNTER-HL - SYMPATHY LOSS OF SON/PLANTERS PKG/6-J3300</v>
      </c>
      <c r="D870" s="3" t="str">
        <f>"J3300"</f>
        <v>J3300</v>
      </c>
      <c r="E870" s="3" t="str">
        <f>"ED28HG07"</f>
        <v>ED28HG07</v>
      </c>
    </row>
    <row r="871" spans="1:5" x14ac:dyDescent="0.25">
      <c r="A871" s="3" t="str">
        <f>"308428"</f>
        <v>308428</v>
      </c>
      <c r="B871" s="4" t="str">
        <f>"81983720536"</f>
        <v>81983720536</v>
      </c>
      <c r="C871" t="str">
        <f>"EVERYDAY COUNTER-HL - SYMPATHY LOSS OF DAUGHTER/GIFT FOR A LIFETIME PKG/6-J3299"</f>
        <v>EVERYDAY COUNTER-HL - SYMPATHY LOSS OF DAUGHTER/GIFT FOR A LIFETIME PKG/6-J3299</v>
      </c>
      <c r="D871" s="3" t="str">
        <f>"J3299"</f>
        <v>J3299</v>
      </c>
      <c r="E871" s="3" t="str">
        <f>"ED28HG08"</f>
        <v>ED28HG08</v>
      </c>
    </row>
    <row r="873" spans="1:5" x14ac:dyDescent="0.25">
      <c r="B873" s="3"/>
    </row>
    <row r="874" spans="1:5" x14ac:dyDescent="0.25">
      <c r="B874" s="3"/>
    </row>
    <row r="875" spans="1:5" x14ac:dyDescent="0.25">
      <c r="B875" s="3"/>
    </row>
    <row r="876" spans="1:5" x14ac:dyDescent="0.25">
      <c r="B876" s="3"/>
    </row>
    <row r="877" spans="1:5" x14ac:dyDescent="0.25">
      <c r="B877" s="3"/>
    </row>
    <row r="878" spans="1:5" x14ac:dyDescent="0.25">
      <c r="B878" s="3"/>
    </row>
    <row r="879" spans="1:5" x14ac:dyDescent="0.25">
      <c r="B879" s="3"/>
    </row>
    <row r="880" spans="1:5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  <row r="1047" spans="2:2" x14ac:dyDescent="0.25">
      <c r="B1047" s="3"/>
    </row>
    <row r="1048" spans="2:2" x14ac:dyDescent="0.25">
      <c r="B1048" s="3"/>
    </row>
    <row r="1049" spans="2:2" x14ac:dyDescent="0.25">
      <c r="B1049" s="3"/>
    </row>
    <row r="1050" spans="2:2" x14ac:dyDescent="0.25">
      <c r="B1050" s="3"/>
    </row>
    <row r="1051" spans="2:2" x14ac:dyDescent="0.25">
      <c r="B1051" s="3"/>
    </row>
    <row r="1052" spans="2:2" x14ac:dyDescent="0.25">
      <c r="B1052" s="3"/>
    </row>
    <row r="1053" spans="2:2" x14ac:dyDescent="0.25">
      <c r="B1053" s="3"/>
    </row>
    <row r="1054" spans="2:2" x14ac:dyDescent="0.25">
      <c r="B1054" s="3"/>
    </row>
    <row r="1055" spans="2:2" x14ac:dyDescent="0.25">
      <c r="B1055" s="3"/>
    </row>
    <row r="1056" spans="2:2" x14ac:dyDescent="0.25">
      <c r="B1056" s="3"/>
    </row>
    <row r="1057" spans="2:2" x14ac:dyDescent="0.25">
      <c r="B1057" s="3"/>
    </row>
    <row r="1058" spans="2:2" x14ac:dyDescent="0.25">
      <c r="B1058" s="3"/>
    </row>
    <row r="1059" spans="2:2" x14ac:dyDescent="0.25">
      <c r="B1059" s="3"/>
    </row>
    <row r="1060" spans="2:2" x14ac:dyDescent="0.25">
      <c r="B1060" s="3"/>
    </row>
    <row r="1061" spans="2:2" x14ac:dyDescent="0.25">
      <c r="B1061" s="3"/>
    </row>
    <row r="1062" spans="2:2" x14ac:dyDescent="0.25">
      <c r="B1062" s="3"/>
    </row>
    <row r="1063" spans="2:2" x14ac:dyDescent="0.25">
      <c r="B1063" s="3"/>
    </row>
    <row r="1064" spans="2:2" x14ac:dyDescent="0.25">
      <c r="B1064" s="3"/>
    </row>
    <row r="1065" spans="2:2" x14ac:dyDescent="0.25">
      <c r="B1065" s="3"/>
    </row>
    <row r="1066" spans="2:2" x14ac:dyDescent="0.25">
      <c r="B1066" s="3"/>
    </row>
    <row r="1067" spans="2:2" x14ac:dyDescent="0.25">
      <c r="B1067" s="3"/>
    </row>
    <row r="1068" spans="2:2" x14ac:dyDescent="0.25">
      <c r="B1068" s="3"/>
    </row>
    <row r="1069" spans="2:2" x14ac:dyDescent="0.25">
      <c r="B1069" s="3"/>
    </row>
    <row r="1070" spans="2:2" x14ac:dyDescent="0.25">
      <c r="B1070" s="3"/>
    </row>
    <row r="1071" spans="2:2" x14ac:dyDescent="0.25">
      <c r="B1071" s="3"/>
    </row>
    <row r="1072" spans="2:2" x14ac:dyDescent="0.25">
      <c r="B1072" s="3"/>
    </row>
    <row r="1073" spans="2:2" x14ac:dyDescent="0.25">
      <c r="B1073" s="3"/>
    </row>
    <row r="1074" spans="2:2" x14ac:dyDescent="0.25">
      <c r="B1074" s="3"/>
    </row>
    <row r="1075" spans="2:2" x14ac:dyDescent="0.25">
      <c r="B1075" s="3"/>
    </row>
    <row r="1076" spans="2:2" x14ac:dyDescent="0.25">
      <c r="B1076" s="3"/>
    </row>
    <row r="1077" spans="2:2" x14ac:dyDescent="0.25">
      <c r="B1077" s="3"/>
    </row>
    <row r="1078" spans="2:2" x14ac:dyDescent="0.25">
      <c r="B1078" s="3"/>
    </row>
    <row r="1079" spans="2:2" x14ac:dyDescent="0.25">
      <c r="B1079" s="3"/>
    </row>
    <row r="1080" spans="2:2" x14ac:dyDescent="0.25">
      <c r="B1080" s="3"/>
    </row>
    <row r="1081" spans="2:2" x14ac:dyDescent="0.25">
      <c r="B1081" s="3"/>
    </row>
    <row r="1082" spans="2:2" x14ac:dyDescent="0.25">
      <c r="B1082" s="3"/>
    </row>
    <row r="1083" spans="2:2" x14ac:dyDescent="0.25">
      <c r="B1083" s="3"/>
    </row>
    <row r="1084" spans="2:2" x14ac:dyDescent="0.25">
      <c r="B1084" s="3"/>
    </row>
    <row r="1085" spans="2:2" x14ac:dyDescent="0.25">
      <c r="B1085" s="3"/>
    </row>
    <row r="1086" spans="2:2" x14ac:dyDescent="0.25">
      <c r="B1086" s="3"/>
    </row>
    <row r="1087" spans="2:2" x14ac:dyDescent="0.25">
      <c r="B1087" s="3"/>
    </row>
    <row r="1088" spans="2:2" x14ac:dyDescent="0.25">
      <c r="B1088" s="3"/>
    </row>
    <row r="1089" spans="2:2" x14ac:dyDescent="0.25">
      <c r="B1089" s="3"/>
    </row>
    <row r="1090" spans="2:2" x14ac:dyDescent="0.25">
      <c r="B1090" s="3"/>
    </row>
    <row r="1091" spans="2:2" x14ac:dyDescent="0.25">
      <c r="B1091" s="3"/>
    </row>
    <row r="1092" spans="2:2" x14ac:dyDescent="0.25">
      <c r="B1092" s="3"/>
    </row>
    <row r="1093" spans="2:2" x14ac:dyDescent="0.25">
      <c r="B1093" s="3"/>
    </row>
    <row r="1094" spans="2:2" x14ac:dyDescent="0.25">
      <c r="B1094" s="3"/>
    </row>
    <row r="1095" spans="2:2" x14ac:dyDescent="0.25">
      <c r="B1095" s="3"/>
    </row>
    <row r="1096" spans="2:2" x14ac:dyDescent="0.25">
      <c r="B1096" s="3"/>
    </row>
    <row r="1097" spans="2:2" x14ac:dyDescent="0.25">
      <c r="B1097" s="3"/>
    </row>
    <row r="1098" spans="2:2" x14ac:dyDescent="0.25">
      <c r="B1098" s="3"/>
    </row>
    <row r="1099" spans="2:2" x14ac:dyDescent="0.25">
      <c r="B1099" s="3"/>
    </row>
    <row r="1100" spans="2:2" x14ac:dyDescent="0.25">
      <c r="B1100" s="3"/>
    </row>
    <row r="1101" spans="2:2" x14ac:dyDescent="0.25">
      <c r="B1101" s="3"/>
    </row>
    <row r="1102" spans="2:2" x14ac:dyDescent="0.25">
      <c r="B1102" s="3"/>
    </row>
    <row r="1103" spans="2:2" x14ac:dyDescent="0.25">
      <c r="B1103" s="3"/>
    </row>
    <row r="1104" spans="2:2" x14ac:dyDescent="0.25">
      <c r="B1104" s="3"/>
    </row>
    <row r="1105" spans="2:2" x14ac:dyDescent="0.25">
      <c r="B1105" s="3"/>
    </row>
    <row r="1106" spans="2:2" x14ac:dyDescent="0.25">
      <c r="B1106" s="3"/>
    </row>
    <row r="1107" spans="2:2" x14ac:dyDescent="0.25">
      <c r="B1107" s="3"/>
    </row>
    <row r="1108" spans="2:2" x14ac:dyDescent="0.25">
      <c r="B1108" s="3"/>
    </row>
    <row r="1109" spans="2:2" x14ac:dyDescent="0.25">
      <c r="B1109" s="3"/>
    </row>
    <row r="1110" spans="2:2" x14ac:dyDescent="0.25">
      <c r="B1110" s="3"/>
    </row>
    <row r="1111" spans="2:2" x14ac:dyDescent="0.25">
      <c r="B1111" s="3"/>
    </row>
    <row r="1112" spans="2:2" x14ac:dyDescent="0.25">
      <c r="B1112" s="3"/>
    </row>
    <row r="1113" spans="2:2" x14ac:dyDescent="0.25">
      <c r="B1113" s="3"/>
    </row>
    <row r="1114" spans="2:2" x14ac:dyDescent="0.25">
      <c r="B1114" s="3"/>
    </row>
    <row r="1115" spans="2:2" x14ac:dyDescent="0.25">
      <c r="B1115" s="3"/>
    </row>
    <row r="1116" spans="2:2" x14ac:dyDescent="0.25">
      <c r="B1116" s="3"/>
    </row>
    <row r="1117" spans="2:2" x14ac:dyDescent="0.25">
      <c r="B1117" s="3"/>
    </row>
    <row r="1118" spans="2:2" x14ac:dyDescent="0.25">
      <c r="B1118" s="3"/>
    </row>
    <row r="1119" spans="2:2" x14ac:dyDescent="0.25">
      <c r="B1119" s="3"/>
    </row>
    <row r="1120" spans="2:2" x14ac:dyDescent="0.25">
      <c r="B1120" s="3"/>
    </row>
    <row r="1121" spans="2:2" x14ac:dyDescent="0.25">
      <c r="B1121" s="3"/>
    </row>
    <row r="1122" spans="2:2" x14ac:dyDescent="0.25">
      <c r="B1122" s="3"/>
    </row>
    <row r="1123" spans="2:2" x14ac:dyDescent="0.25">
      <c r="B1123" s="3"/>
    </row>
    <row r="1124" spans="2:2" x14ac:dyDescent="0.25">
      <c r="B1124" s="3"/>
    </row>
    <row r="1125" spans="2:2" x14ac:dyDescent="0.25">
      <c r="B1125" s="3"/>
    </row>
    <row r="1126" spans="2:2" x14ac:dyDescent="0.25">
      <c r="B1126" s="3"/>
    </row>
    <row r="1127" spans="2:2" x14ac:dyDescent="0.25">
      <c r="B1127" s="3"/>
    </row>
    <row r="1128" spans="2:2" x14ac:dyDescent="0.25">
      <c r="B1128" s="3"/>
    </row>
    <row r="1129" spans="2:2" x14ac:dyDescent="0.25">
      <c r="B1129" s="3"/>
    </row>
    <row r="1130" spans="2:2" x14ac:dyDescent="0.25">
      <c r="B1130" s="3"/>
    </row>
    <row r="1131" spans="2:2" x14ac:dyDescent="0.25">
      <c r="B1131" s="3"/>
    </row>
    <row r="1132" spans="2:2" x14ac:dyDescent="0.25">
      <c r="B1132" s="3"/>
    </row>
    <row r="1133" spans="2:2" x14ac:dyDescent="0.25">
      <c r="B1133" s="3"/>
    </row>
    <row r="1134" spans="2:2" x14ac:dyDescent="0.25">
      <c r="B1134" s="3"/>
    </row>
    <row r="1135" spans="2:2" x14ac:dyDescent="0.25">
      <c r="B1135" s="3"/>
    </row>
    <row r="1136" spans="2:2" x14ac:dyDescent="0.25">
      <c r="B1136" s="3"/>
    </row>
    <row r="1137" spans="2:2" x14ac:dyDescent="0.25">
      <c r="B1137" s="3"/>
    </row>
    <row r="1138" spans="2:2" x14ac:dyDescent="0.25">
      <c r="B1138" s="3"/>
    </row>
    <row r="1139" spans="2:2" x14ac:dyDescent="0.25">
      <c r="B1139" s="3"/>
    </row>
    <row r="1140" spans="2:2" x14ac:dyDescent="0.25">
      <c r="B1140" s="3"/>
    </row>
    <row r="1141" spans="2:2" x14ac:dyDescent="0.25">
      <c r="B1141" s="3"/>
    </row>
    <row r="1142" spans="2:2" x14ac:dyDescent="0.25">
      <c r="B1142" s="3"/>
    </row>
    <row r="1143" spans="2:2" x14ac:dyDescent="0.25">
      <c r="B1143" s="3"/>
    </row>
    <row r="1144" spans="2:2" x14ac:dyDescent="0.25">
      <c r="B1144" s="3"/>
    </row>
    <row r="1145" spans="2:2" x14ac:dyDescent="0.25">
      <c r="B1145" s="3"/>
    </row>
    <row r="1146" spans="2:2" x14ac:dyDescent="0.25">
      <c r="B1146" s="3"/>
    </row>
    <row r="1147" spans="2:2" x14ac:dyDescent="0.25">
      <c r="B1147" s="3"/>
    </row>
    <row r="1148" spans="2:2" x14ac:dyDescent="0.25">
      <c r="B1148" s="3"/>
    </row>
    <row r="1149" spans="2:2" x14ac:dyDescent="0.25">
      <c r="B1149" s="3"/>
    </row>
    <row r="1150" spans="2:2" x14ac:dyDescent="0.25">
      <c r="B1150" s="3"/>
    </row>
    <row r="1151" spans="2:2" x14ac:dyDescent="0.25">
      <c r="B1151" s="3"/>
    </row>
    <row r="1152" spans="2:2" x14ac:dyDescent="0.25">
      <c r="B1152" s="3"/>
    </row>
    <row r="1153" spans="2:2" x14ac:dyDescent="0.25">
      <c r="B1153" s="3"/>
    </row>
    <row r="1154" spans="2:2" x14ac:dyDescent="0.25">
      <c r="B1154" s="3"/>
    </row>
    <row r="1155" spans="2:2" x14ac:dyDescent="0.25">
      <c r="B1155" s="3"/>
    </row>
    <row r="1156" spans="2:2" x14ac:dyDescent="0.25">
      <c r="B1156" s="3"/>
    </row>
    <row r="1157" spans="2:2" x14ac:dyDescent="0.25">
      <c r="B1157" s="3"/>
    </row>
    <row r="1158" spans="2:2" x14ac:dyDescent="0.25">
      <c r="B1158" s="3"/>
    </row>
    <row r="1159" spans="2:2" x14ac:dyDescent="0.25">
      <c r="B1159" s="3"/>
    </row>
    <row r="1160" spans="2:2" x14ac:dyDescent="0.25">
      <c r="B1160" s="3"/>
    </row>
    <row r="1161" spans="2:2" x14ac:dyDescent="0.25">
      <c r="B1161" s="3"/>
    </row>
    <row r="1162" spans="2:2" x14ac:dyDescent="0.25">
      <c r="B1162" s="3"/>
    </row>
    <row r="1163" spans="2:2" x14ac:dyDescent="0.25">
      <c r="B1163" s="3"/>
    </row>
    <row r="1164" spans="2:2" x14ac:dyDescent="0.25">
      <c r="B1164" s="3"/>
    </row>
    <row r="1165" spans="2:2" x14ac:dyDescent="0.25">
      <c r="B1165" s="3"/>
    </row>
    <row r="1166" spans="2:2" x14ac:dyDescent="0.25">
      <c r="B1166" s="3"/>
    </row>
    <row r="1167" spans="2:2" x14ac:dyDescent="0.25">
      <c r="B1167" s="3"/>
    </row>
    <row r="1168" spans="2:2" x14ac:dyDescent="0.25">
      <c r="B1168" s="3"/>
    </row>
    <row r="1169" spans="2:2" x14ac:dyDescent="0.25">
      <c r="B1169" s="3"/>
    </row>
    <row r="1170" spans="2:2" x14ac:dyDescent="0.25">
      <c r="B1170" s="3"/>
    </row>
    <row r="1171" spans="2:2" x14ac:dyDescent="0.25">
      <c r="B1171" s="3"/>
    </row>
    <row r="1172" spans="2:2" x14ac:dyDescent="0.25">
      <c r="B1172" s="3"/>
    </row>
    <row r="1173" spans="2:2" x14ac:dyDescent="0.25">
      <c r="B1173" s="3"/>
    </row>
    <row r="1174" spans="2:2" x14ac:dyDescent="0.25">
      <c r="B1174" s="3"/>
    </row>
    <row r="1175" spans="2:2" x14ac:dyDescent="0.25">
      <c r="B1175" s="3"/>
    </row>
    <row r="1176" spans="2:2" x14ac:dyDescent="0.25">
      <c r="B1176" s="3"/>
    </row>
    <row r="1177" spans="2:2" x14ac:dyDescent="0.25">
      <c r="B1177" s="3"/>
    </row>
    <row r="1178" spans="2:2" x14ac:dyDescent="0.25">
      <c r="B1178" s="3"/>
    </row>
    <row r="1179" spans="2:2" x14ac:dyDescent="0.25">
      <c r="B1179" s="3"/>
    </row>
    <row r="1180" spans="2:2" x14ac:dyDescent="0.25">
      <c r="B1180" s="3"/>
    </row>
    <row r="1181" spans="2:2" x14ac:dyDescent="0.25">
      <c r="B1181" s="3"/>
    </row>
    <row r="1182" spans="2:2" x14ac:dyDescent="0.25">
      <c r="B1182" s="3"/>
    </row>
    <row r="1183" spans="2:2" x14ac:dyDescent="0.25">
      <c r="B1183" s="3"/>
    </row>
    <row r="1184" spans="2:2" x14ac:dyDescent="0.25">
      <c r="B1184" s="3"/>
    </row>
    <row r="1185" spans="2:2" x14ac:dyDescent="0.25">
      <c r="B1185" s="3"/>
    </row>
    <row r="1186" spans="2:2" x14ac:dyDescent="0.25">
      <c r="B1186" s="3"/>
    </row>
    <row r="1187" spans="2:2" x14ac:dyDescent="0.25">
      <c r="B1187" s="3"/>
    </row>
    <row r="1188" spans="2:2" x14ac:dyDescent="0.25">
      <c r="B1188" s="3"/>
    </row>
    <row r="1189" spans="2:2" x14ac:dyDescent="0.25">
      <c r="B1189" s="3"/>
    </row>
    <row r="1190" spans="2:2" x14ac:dyDescent="0.25">
      <c r="B1190" s="3"/>
    </row>
    <row r="1191" spans="2:2" x14ac:dyDescent="0.25">
      <c r="B1191" s="3"/>
    </row>
    <row r="1192" spans="2:2" x14ac:dyDescent="0.25">
      <c r="B1192" s="3"/>
    </row>
    <row r="1193" spans="2:2" x14ac:dyDescent="0.25">
      <c r="B1193" s="3"/>
    </row>
    <row r="1194" spans="2:2" x14ac:dyDescent="0.25">
      <c r="B1194" s="3"/>
    </row>
    <row r="1195" spans="2:2" x14ac:dyDescent="0.25">
      <c r="B1195" s="3"/>
    </row>
    <row r="1196" spans="2:2" x14ac:dyDescent="0.25">
      <c r="B1196" s="3"/>
    </row>
    <row r="1197" spans="2:2" x14ac:dyDescent="0.25">
      <c r="B1197" s="3"/>
    </row>
    <row r="1198" spans="2:2" x14ac:dyDescent="0.25">
      <c r="B1198" s="3"/>
    </row>
    <row r="1199" spans="2:2" x14ac:dyDescent="0.25">
      <c r="B1199" s="3"/>
    </row>
    <row r="1200" spans="2:2" x14ac:dyDescent="0.25">
      <c r="B1200" s="3"/>
    </row>
    <row r="1201" spans="2:2" x14ac:dyDescent="0.25">
      <c r="B1201" s="3"/>
    </row>
    <row r="1202" spans="2:2" x14ac:dyDescent="0.25">
      <c r="B1202" s="3"/>
    </row>
    <row r="1203" spans="2:2" x14ac:dyDescent="0.25">
      <c r="B1203" s="3"/>
    </row>
    <row r="1204" spans="2:2" x14ac:dyDescent="0.25">
      <c r="B1204" s="3"/>
    </row>
    <row r="1205" spans="2:2" x14ac:dyDescent="0.25">
      <c r="B1205" s="3"/>
    </row>
    <row r="1206" spans="2:2" x14ac:dyDescent="0.25">
      <c r="B1206" s="3"/>
    </row>
    <row r="1207" spans="2:2" x14ac:dyDescent="0.25">
      <c r="B1207" s="3"/>
    </row>
    <row r="1208" spans="2:2" x14ac:dyDescent="0.25">
      <c r="B1208" s="3"/>
    </row>
    <row r="1209" spans="2:2" x14ac:dyDescent="0.25">
      <c r="B1209" s="3"/>
    </row>
    <row r="1210" spans="2:2" x14ac:dyDescent="0.25">
      <c r="B1210" s="3"/>
    </row>
    <row r="1211" spans="2:2" x14ac:dyDescent="0.25">
      <c r="B1211" s="3"/>
    </row>
    <row r="1212" spans="2:2" x14ac:dyDescent="0.25">
      <c r="B1212" s="3"/>
    </row>
    <row r="1213" spans="2:2" x14ac:dyDescent="0.25">
      <c r="B1213" s="3"/>
    </row>
    <row r="1214" spans="2:2" x14ac:dyDescent="0.25">
      <c r="B1214" s="3"/>
    </row>
    <row r="1215" spans="2:2" x14ac:dyDescent="0.25">
      <c r="B1215" s="3"/>
    </row>
    <row r="1216" spans="2:2" x14ac:dyDescent="0.25">
      <c r="B1216" s="3"/>
    </row>
    <row r="1217" spans="2:2" x14ac:dyDescent="0.25">
      <c r="B1217" s="3"/>
    </row>
    <row r="1218" spans="2:2" x14ac:dyDescent="0.25">
      <c r="B1218" s="3"/>
    </row>
    <row r="1219" spans="2:2" x14ac:dyDescent="0.25">
      <c r="B1219" s="3"/>
    </row>
    <row r="1220" spans="2:2" x14ac:dyDescent="0.25">
      <c r="B1220" s="3"/>
    </row>
    <row r="1221" spans="2:2" x14ac:dyDescent="0.25">
      <c r="B1221" s="3"/>
    </row>
    <row r="1222" spans="2:2" x14ac:dyDescent="0.25">
      <c r="B1222" s="3"/>
    </row>
    <row r="1223" spans="2:2" x14ac:dyDescent="0.25">
      <c r="B1223" s="3"/>
    </row>
    <row r="1224" spans="2:2" x14ac:dyDescent="0.25">
      <c r="B1224" s="3"/>
    </row>
    <row r="1225" spans="2:2" x14ac:dyDescent="0.25">
      <c r="B1225" s="3"/>
    </row>
    <row r="1226" spans="2:2" x14ac:dyDescent="0.25">
      <c r="B1226" s="3"/>
    </row>
    <row r="1227" spans="2:2" x14ac:dyDescent="0.25">
      <c r="B1227" s="3"/>
    </row>
    <row r="1228" spans="2:2" x14ac:dyDescent="0.25">
      <c r="B1228" s="3"/>
    </row>
    <row r="1229" spans="2:2" x14ac:dyDescent="0.25">
      <c r="B1229" s="3"/>
    </row>
    <row r="1230" spans="2:2" x14ac:dyDescent="0.25">
      <c r="B1230" s="3"/>
    </row>
    <row r="1231" spans="2:2" x14ac:dyDescent="0.25">
      <c r="B1231" s="3"/>
    </row>
    <row r="1232" spans="2:2" x14ac:dyDescent="0.25">
      <c r="B1232" s="3"/>
    </row>
    <row r="1233" spans="2:2" x14ac:dyDescent="0.25">
      <c r="B1233" s="3"/>
    </row>
    <row r="1234" spans="2:2" x14ac:dyDescent="0.25">
      <c r="B1234" s="3"/>
    </row>
    <row r="1235" spans="2:2" x14ac:dyDescent="0.25">
      <c r="B1235" s="3"/>
    </row>
    <row r="1236" spans="2:2" x14ac:dyDescent="0.25">
      <c r="B1236" s="3"/>
    </row>
    <row r="1237" spans="2:2" x14ac:dyDescent="0.25">
      <c r="B1237" s="3"/>
    </row>
    <row r="1238" spans="2:2" x14ac:dyDescent="0.25">
      <c r="B1238" s="3"/>
    </row>
    <row r="1239" spans="2:2" x14ac:dyDescent="0.25">
      <c r="B1239" s="3"/>
    </row>
    <row r="1240" spans="2:2" x14ac:dyDescent="0.25">
      <c r="B1240" s="3"/>
    </row>
    <row r="1241" spans="2:2" x14ac:dyDescent="0.25">
      <c r="B1241" s="3"/>
    </row>
    <row r="1242" spans="2:2" x14ac:dyDescent="0.25">
      <c r="B1242" s="3"/>
    </row>
    <row r="1243" spans="2:2" x14ac:dyDescent="0.25">
      <c r="B1243" s="3"/>
    </row>
    <row r="1244" spans="2:2" x14ac:dyDescent="0.25">
      <c r="B1244" s="3"/>
    </row>
    <row r="1245" spans="2:2" x14ac:dyDescent="0.25">
      <c r="B1245" s="3"/>
    </row>
    <row r="1246" spans="2:2" x14ac:dyDescent="0.25">
      <c r="B1246" s="3"/>
    </row>
    <row r="1247" spans="2:2" x14ac:dyDescent="0.25">
      <c r="B1247" s="3"/>
    </row>
    <row r="1248" spans="2:2" x14ac:dyDescent="0.25">
      <c r="B1248" s="3"/>
    </row>
    <row r="1249" spans="2:2" x14ac:dyDescent="0.25">
      <c r="B1249" s="3"/>
    </row>
    <row r="1250" spans="2:2" x14ac:dyDescent="0.25">
      <c r="B1250" s="3"/>
    </row>
    <row r="1251" spans="2:2" x14ac:dyDescent="0.25">
      <c r="B1251" s="3"/>
    </row>
    <row r="1252" spans="2:2" x14ac:dyDescent="0.25">
      <c r="B1252" s="3"/>
    </row>
    <row r="1253" spans="2:2" x14ac:dyDescent="0.25">
      <c r="B1253" s="3"/>
    </row>
    <row r="1254" spans="2:2" x14ac:dyDescent="0.25">
      <c r="B1254" s="3"/>
    </row>
    <row r="1255" spans="2:2" x14ac:dyDescent="0.25">
      <c r="B1255" s="3"/>
    </row>
    <row r="1256" spans="2:2" x14ac:dyDescent="0.25">
      <c r="B1256" s="3"/>
    </row>
    <row r="1257" spans="2:2" x14ac:dyDescent="0.25">
      <c r="B1257" s="3"/>
    </row>
    <row r="1258" spans="2:2" x14ac:dyDescent="0.25">
      <c r="B1258" s="3"/>
    </row>
    <row r="1259" spans="2:2" x14ac:dyDescent="0.25">
      <c r="B1259" s="3"/>
    </row>
    <row r="1260" spans="2:2" x14ac:dyDescent="0.25">
      <c r="B1260" s="3"/>
    </row>
    <row r="1261" spans="2:2" x14ac:dyDescent="0.25">
      <c r="B1261" s="3"/>
    </row>
    <row r="1262" spans="2:2" x14ac:dyDescent="0.25">
      <c r="B1262" s="3"/>
    </row>
    <row r="1263" spans="2:2" x14ac:dyDescent="0.25">
      <c r="B1263" s="3"/>
    </row>
    <row r="1264" spans="2:2" x14ac:dyDescent="0.25">
      <c r="B1264" s="3"/>
    </row>
    <row r="1265" spans="2:2" x14ac:dyDescent="0.25">
      <c r="B1265" s="3"/>
    </row>
    <row r="1266" spans="2:2" x14ac:dyDescent="0.25">
      <c r="B1266" s="3"/>
    </row>
    <row r="1267" spans="2:2" x14ac:dyDescent="0.25">
      <c r="B1267" s="3"/>
    </row>
    <row r="1268" spans="2:2" x14ac:dyDescent="0.25">
      <c r="B1268" s="3"/>
    </row>
    <row r="1269" spans="2:2" x14ac:dyDescent="0.25">
      <c r="B1269" s="3"/>
    </row>
    <row r="1270" spans="2:2" x14ac:dyDescent="0.25">
      <c r="B1270" s="3"/>
    </row>
    <row r="1271" spans="2:2" x14ac:dyDescent="0.25">
      <c r="B1271" s="3"/>
    </row>
    <row r="1272" spans="2:2" x14ac:dyDescent="0.25">
      <c r="B1272" s="3"/>
    </row>
    <row r="1273" spans="2:2" x14ac:dyDescent="0.25">
      <c r="B1273" s="3"/>
    </row>
    <row r="1274" spans="2:2" x14ac:dyDescent="0.25">
      <c r="B1274" s="3"/>
    </row>
    <row r="1275" spans="2:2" x14ac:dyDescent="0.25">
      <c r="B1275" s="3"/>
    </row>
    <row r="1276" spans="2:2" x14ac:dyDescent="0.25">
      <c r="B1276" s="3"/>
    </row>
    <row r="1277" spans="2:2" x14ac:dyDescent="0.25">
      <c r="B1277" s="3"/>
    </row>
    <row r="1278" spans="2:2" x14ac:dyDescent="0.25">
      <c r="B1278" s="3"/>
    </row>
    <row r="1279" spans="2:2" x14ac:dyDescent="0.25">
      <c r="B1279" s="3"/>
    </row>
    <row r="1280" spans="2:2" x14ac:dyDescent="0.25">
      <c r="B1280" s="3"/>
    </row>
    <row r="1281" spans="2:2" x14ac:dyDescent="0.25">
      <c r="B1281" s="3"/>
    </row>
    <row r="1282" spans="2:2" x14ac:dyDescent="0.25">
      <c r="B1282" s="3"/>
    </row>
    <row r="1283" spans="2:2" x14ac:dyDescent="0.25">
      <c r="B1283" s="3"/>
    </row>
    <row r="1284" spans="2:2" x14ac:dyDescent="0.25">
      <c r="B1284" s="3"/>
    </row>
    <row r="1285" spans="2:2" x14ac:dyDescent="0.25">
      <c r="B1285" s="3"/>
    </row>
    <row r="1286" spans="2:2" x14ac:dyDescent="0.25">
      <c r="B1286" s="3"/>
    </row>
    <row r="1287" spans="2:2" x14ac:dyDescent="0.25">
      <c r="B1287" s="3"/>
    </row>
    <row r="1288" spans="2:2" x14ac:dyDescent="0.25">
      <c r="B1288" s="3"/>
    </row>
    <row r="1289" spans="2:2" x14ac:dyDescent="0.25">
      <c r="B1289" s="3"/>
    </row>
    <row r="1290" spans="2:2" x14ac:dyDescent="0.25">
      <c r="B1290" s="3"/>
    </row>
    <row r="1291" spans="2:2" x14ac:dyDescent="0.25">
      <c r="B1291" s="3"/>
    </row>
    <row r="1292" spans="2:2" x14ac:dyDescent="0.25">
      <c r="B1292" s="3"/>
    </row>
    <row r="1293" spans="2:2" x14ac:dyDescent="0.25">
      <c r="B1293" s="3"/>
    </row>
    <row r="1294" spans="2:2" x14ac:dyDescent="0.25">
      <c r="B1294" s="3"/>
    </row>
    <row r="1295" spans="2:2" x14ac:dyDescent="0.25">
      <c r="B1295" s="3"/>
    </row>
    <row r="1296" spans="2:2" x14ac:dyDescent="0.25">
      <c r="B1296" s="3"/>
    </row>
    <row r="1297" spans="2:2" x14ac:dyDescent="0.25">
      <c r="B1297" s="3"/>
    </row>
    <row r="1298" spans="2:2" x14ac:dyDescent="0.25">
      <c r="B1298" s="3"/>
    </row>
    <row r="1299" spans="2:2" x14ac:dyDescent="0.25">
      <c r="B1299" s="3"/>
    </row>
    <row r="1300" spans="2:2" x14ac:dyDescent="0.25">
      <c r="B1300" s="3"/>
    </row>
    <row r="1301" spans="2:2" x14ac:dyDescent="0.25">
      <c r="B1301" s="3"/>
    </row>
    <row r="1302" spans="2:2" x14ac:dyDescent="0.25">
      <c r="B1302" s="3"/>
    </row>
    <row r="1303" spans="2:2" x14ac:dyDescent="0.25">
      <c r="B1303" s="3"/>
    </row>
    <row r="1304" spans="2:2" x14ac:dyDescent="0.25">
      <c r="B1304" s="3"/>
    </row>
    <row r="1305" spans="2:2" x14ac:dyDescent="0.25">
      <c r="B1305" s="3"/>
    </row>
    <row r="1306" spans="2:2" x14ac:dyDescent="0.25">
      <c r="B1306" s="3"/>
    </row>
    <row r="1307" spans="2:2" x14ac:dyDescent="0.25">
      <c r="B1307" s="3"/>
    </row>
    <row r="1308" spans="2:2" x14ac:dyDescent="0.25">
      <c r="B1308" s="3"/>
    </row>
    <row r="1309" spans="2:2" x14ac:dyDescent="0.25">
      <c r="B1309" s="3"/>
    </row>
    <row r="1310" spans="2:2" x14ac:dyDescent="0.25">
      <c r="B1310" s="3"/>
    </row>
    <row r="1311" spans="2:2" x14ac:dyDescent="0.25">
      <c r="B1311" s="3"/>
    </row>
    <row r="1312" spans="2:2" x14ac:dyDescent="0.25">
      <c r="B1312" s="3"/>
    </row>
    <row r="1313" spans="2:2" x14ac:dyDescent="0.25">
      <c r="B1313" s="3"/>
    </row>
    <row r="1314" spans="2:2" x14ac:dyDescent="0.25">
      <c r="B1314" s="3"/>
    </row>
    <row r="1315" spans="2:2" x14ac:dyDescent="0.25">
      <c r="B1315" s="3"/>
    </row>
    <row r="1316" spans="2:2" x14ac:dyDescent="0.25">
      <c r="B1316" s="3"/>
    </row>
    <row r="1317" spans="2:2" x14ac:dyDescent="0.25">
      <c r="B1317" s="3"/>
    </row>
    <row r="1318" spans="2:2" x14ac:dyDescent="0.25">
      <c r="B1318" s="3"/>
    </row>
    <row r="1319" spans="2:2" x14ac:dyDescent="0.25">
      <c r="B1319" s="3"/>
    </row>
    <row r="1320" spans="2:2" x14ac:dyDescent="0.25">
      <c r="B1320" s="3"/>
    </row>
    <row r="1321" spans="2:2" x14ac:dyDescent="0.25">
      <c r="B1321" s="3"/>
    </row>
    <row r="1322" spans="2:2" x14ac:dyDescent="0.25">
      <c r="B1322" s="3"/>
    </row>
    <row r="1323" spans="2:2" x14ac:dyDescent="0.25">
      <c r="B1323" s="3"/>
    </row>
    <row r="1324" spans="2:2" x14ac:dyDescent="0.25">
      <c r="B1324" s="3"/>
    </row>
    <row r="1325" spans="2:2" x14ac:dyDescent="0.25">
      <c r="B1325" s="3"/>
    </row>
    <row r="1326" spans="2:2" x14ac:dyDescent="0.25">
      <c r="B1326" s="3"/>
    </row>
    <row r="1327" spans="2:2" x14ac:dyDescent="0.25">
      <c r="B1327" s="3"/>
    </row>
    <row r="1328" spans="2:2" x14ac:dyDescent="0.25">
      <c r="B1328" s="3"/>
    </row>
    <row r="1329" spans="2:2" x14ac:dyDescent="0.25">
      <c r="B1329" s="3"/>
    </row>
    <row r="1330" spans="2:2" x14ac:dyDescent="0.25">
      <c r="B1330" s="3"/>
    </row>
    <row r="1331" spans="2:2" x14ac:dyDescent="0.25">
      <c r="B1331" s="3"/>
    </row>
    <row r="1332" spans="2:2" x14ac:dyDescent="0.25">
      <c r="B1332" s="3"/>
    </row>
    <row r="1333" spans="2:2" x14ac:dyDescent="0.25">
      <c r="B1333" s="3"/>
    </row>
    <row r="1334" spans="2:2" x14ac:dyDescent="0.25">
      <c r="B1334" s="3"/>
    </row>
    <row r="1335" spans="2:2" x14ac:dyDescent="0.25">
      <c r="B1335" s="3"/>
    </row>
    <row r="1336" spans="2:2" x14ac:dyDescent="0.25">
      <c r="B1336" s="3"/>
    </row>
    <row r="1337" spans="2:2" x14ac:dyDescent="0.25">
      <c r="B1337" s="3"/>
    </row>
    <row r="1338" spans="2:2" x14ac:dyDescent="0.25">
      <c r="B1338" s="3"/>
    </row>
    <row r="1339" spans="2:2" x14ac:dyDescent="0.25">
      <c r="B1339" s="3"/>
    </row>
    <row r="1340" spans="2:2" x14ac:dyDescent="0.25">
      <c r="B1340" s="3"/>
    </row>
    <row r="1341" spans="2:2" x14ac:dyDescent="0.25">
      <c r="B1341" s="3"/>
    </row>
    <row r="1342" spans="2:2" x14ac:dyDescent="0.25">
      <c r="B1342" s="3"/>
    </row>
    <row r="1343" spans="2:2" x14ac:dyDescent="0.25">
      <c r="B1343" s="3"/>
    </row>
    <row r="1344" spans="2:2" x14ac:dyDescent="0.25">
      <c r="B1344" s="3"/>
    </row>
    <row r="1345" spans="2:2" x14ac:dyDescent="0.25">
      <c r="B1345" s="3"/>
    </row>
    <row r="1346" spans="2:2" x14ac:dyDescent="0.25">
      <c r="B1346" s="3"/>
    </row>
    <row r="1347" spans="2:2" x14ac:dyDescent="0.25">
      <c r="B1347" s="3"/>
    </row>
    <row r="1348" spans="2:2" x14ac:dyDescent="0.25">
      <c r="B1348" s="3"/>
    </row>
    <row r="1349" spans="2:2" x14ac:dyDescent="0.25">
      <c r="B1349" s="3"/>
    </row>
    <row r="1350" spans="2:2" x14ac:dyDescent="0.25">
      <c r="B1350" s="3"/>
    </row>
    <row r="1351" spans="2:2" x14ac:dyDescent="0.25">
      <c r="B1351" s="3"/>
    </row>
    <row r="1352" spans="2:2" x14ac:dyDescent="0.25">
      <c r="B1352" s="3"/>
    </row>
    <row r="1353" spans="2:2" x14ac:dyDescent="0.25">
      <c r="B1353" s="3"/>
    </row>
    <row r="1354" spans="2:2" x14ac:dyDescent="0.25">
      <c r="B1354" s="3"/>
    </row>
    <row r="1355" spans="2:2" x14ac:dyDescent="0.25">
      <c r="B1355" s="3"/>
    </row>
    <row r="1356" spans="2:2" x14ac:dyDescent="0.25">
      <c r="B1356" s="3"/>
    </row>
    <row r="1357" spans="2:2" x14ac:dyDescent="0.25">
      <c r="B1357" s="3"/>
    </row>
    <row r="1358" spans="2:2" x14ac:dyDescent="0.25">
      <c r="B1358" s="3"/>
    </row>
    <row r="1359" spans="2:2" x14ac:dyDescent="0.25">
      <c r="B1359" s="3"/>
    </row>
    <row r="1360" spans="2:2" x14ac:dyDescent="0.25">
      <c r="B1360" s="3"/>
    </row>
    <row r="1361" spans="2:2" x14ac:dyDescent="0.25">
      <c r="B1361" s="3"/>
    </row>
    <row r="1362" spans="2:2" x14ac:dyDescent="0.25">
      <c r="B1362" s="3"/>
    </row>
    <row r="1363" spans="2:2" x14ac:dyDescent="0.25">
      <c r="B1363" s="3"/>
    </row>
    <row r="1364" spans="2:2" x14ac:dyDescent="0.25">
      <c r="B1364" s="3"/>
    </row>
    <row r="1365" spans="2:2" x14ac:dyDescent="0.25">
      <c r="B1365" s="3"/>
    </row>
    <row r="1366" spans="2:2" x14ac:dyDescent="0.25">
      <c r="B1366" s="3"/>
    </row>
    <row r="1367" spans="2:2" x14ac:dyDescent="0.25">
      <c r="B1367" s="3"/>
    </row>
    <row r="1368" spans="2:2" x14ac:dyDescent="0.25">
      <c r="B1368" s="3"/>
    </row>
    <row r="1369" spans="2:2" x14ac:dyDescent="0.25">
      <c r="B1369" s="3"/>
    </row>
    <row r="1370" spans="2:2" x14ac:dyDescent="0.25">
      <c r="B1370" s="3"/>
    </row>
    <row r="1371" spans="2:2" x14ac:dyDescent="0.25">
      <c r="B1371" s="3"/>
    </row>
    <row r="1372" spans="2:2" x14ac:dyDescent="0.25">
      <c r="B1372" s="3"/>
    </row>
    <row r="1373" spans="2:2" x14ac:dyDescent="0.25">
      <c r="B1373" s="3"/>
    </row>
    <row r="1374" spans="2:2" x14ac:dyDescent="0.25">
      <c r="B1374" s="3"/>
    </row>
    <row r="1375" spans="2:2" x14ac:dyDescent="0.25">
      <c r="B1375" s="3"/>
    </row>
    <row r="1376" spans="2:2" x14ac:dyDescent="0.25">
      <c r="B1376" s="3"/>
    </row>
    <row r="1377" spans="2:2" x14ac:dyDescent="0.25">
      <c r="B1377" s="3"/>
    </row>
    <row r="1378" spans="2:2" x14ac:dyDescent="0.25">
      <c r="B1378" s="3"/>
    </row>
    <row r="1379" spans="2:2" x14ac:dyDescent="0.25">
      <c r="B1379" s="3"/>
    </row>
    <row r="1380" spans="2:2" x14ac:dyDescent="0.25">
      <c r="B1380" s="3"/>
    </row>
    <row r="1381" spans="2:2" x14ac:dyDescent="0.25">
      <c r="B1381" s="3"/>
    </row>
    <row r="1382" spans="2:2" x14ac:dyDescent="0.25">
      <c r="B1382" s="3"/>
    </row>
    <row r="1383" spans="2:2" x14ac:dyDescent="0.25">
      <c r="B1383" s="3"/>
    </row>
    <row r="1384" spans="2:2" x14ac:dyDescent="0.25">
      <c r="B1384" s="3"/>
    </row>
    <row r="1385" spans="2:2" x14ac:dyDescent="0.25">
      <c r="B1385" s="3"/>
    </row>
    <row r="1386" spans="2:2" x14ac:dyDescent="0.25">
      <c r="B1386" s="3"/>
    </row>
    <row r="1387" spans="2:2" x14ac:dyDescent="0.25">
      <c r="B1387" s="3"/>
    </row>
    <row r="1388" spans="2:2" x14ac:dyDescent="0.25">
      <c r="B1388" s="3"/>
    </row>
    <row r="1389" spans="2:2" x14ac:dyDescent="0.25">
      <c r="B1389" s="3"/>
    </row>
    <row r="1390" spans="2:2" x14ac:dyDescent="0.25">
      <c r="B1390" s="3"/>
    </row>
    <row r="1391" spans="2:2" x14ac:dyDescent="0.25">
      <c r="B1391" s="3"/>
    </row>
    <row r="1392" spans="2:2" x14ac:dyDescent="0.25">
      <c r="B1392" s="3"/>
    </row>
    <row r="1393" spans="2:2" x14ac:dyDescent="0.25">
      <c r="B1393" s="3"/>
    </row>
    <row r="1394" spans="2:2" x14ac:dyDescent="0.25">
      <c r="B1394" s="3"/>
    </row>
    <row r="1395" spans="2:2" x14ac:dyDescent="0.25">
      <c r="B1395" s="3"/>
    </row>
    <row r="1396" spans="2:2" x14ac:dyDescent="0.25">
      <c r="B1396" s="3"/>
    </row>
    <row r="1397" spans="2:2" x14ac:dyDescent="0.25">
      <c r="B1397" s="3"/>
    </row>
    <row r="1398" spans="2:2" x14ac:dyDescent="0.25">
      <c r="B1398" s="3"/>
    </row>
    <row r="1399" spans="2:2" x14ac:dyDescent="0.25">
      <c r="B1399" s="3"/>
    </row>
    <row r="1400" spans="2:2" x14ac:dyDescent="0.25">
      <c r="B1400" s="3"/>
    </row>
    <row r="1401" spans="2:2" x14ac:dyDescent="0.25">
      <c r="B1401" s="3"/>
    </row>
    <row r="1402" spans="2:2" x14ac:dyDescent="0.25">
      <c r="B1402" s="3"/>
    </row>
    <row r="1403" spans="2:2" x14ac:dyDescent="0.25">
      <c r="B1403" s="3"/>
    </row>
    <row r="1404" spans="2:2" x14ac:dyDescent="0.25">
      <c r="B1404" s="3"/>
    </row>
    <row r="1405" spans="2:2" x14ac:dyDescent="0.25">
      <c r="B1405" s="3"/>
    </row>
    <row r="1406" spans="2:2" x14ac:dyDescent="0.25">
      <c r="B1406" s="3"/>
    </row>
    <row r="1407" spans="2:2" x14ac:dyDescent="0.25">
      <c r="B1407" s="3"/>
    </row>
    <row r="1408" spans="2:2" x14ac:dyDescent="0.25">
      <c r="B1408" s="3"/>
    </row>
    <row r="1409" spans="2:2" x14ac:dyDescent="0.25">
      <c r="B1409" s="3"/>
    </row>
    <row r="1410" spans="2:2" x14ac:dyDescent="0.25">
      <c r="B1410" s="3"/>
    </row>
    <row r="1411" spans="2:2" x14ac:dyDescent="0.25">
      <c r="B1411" s="3"/>
    </row>
    <row r="1412" spans="2:2" x14ac:dyDescent="0.25">
      <c r="B1412" s="3"/>
    </row>
    <row r="1413" spans="2:2" x14ac:dyDescent="0.25">
      <c r="B1413" s="3"/>
    </row>
    <row r="1414" spans="2:2" x14ac:dyDescent="0.25">
      <c r="B1414" s="3"/>
    </row>
    <row r="1415" spans="2:2" x14ac:dyDescent="0.25">
      <c r="B1415" s="3"/>
    </row>
    <row r="1416" spans="2:2" x14ac:dyDescent="0.25">
      <c r="B1416" s="3"/>
    </row>
    <row r="1417" spans="2:2" x14ac:dyDescent="0.25">
      <c r="B1417" s="3"/>
    </row>
    <row r="1418" spans="2:2" x14ac:dyDescent="0.25">
      <c r="B1418" s="3"/>
    </row>
    <row r="1419" spans="2:2" x14ac:dyDescent="0.25">
      <c r="B1419" s="3"/>
    </row>
    <row r="1420" spans="2:2" x14ac:dyDescent="0.25">
      <c r="B1420" s="3"/>
    </row>
    <row r="1421" spans="2:2" x14ac:dyDescent="0.25">
      <c r="B1421" s="3"/>
    </row>
    <row r="1422" spans="2:2" x14ac:dyDescent="0.25">
      <c r="B1422" s="3"/>
    </row>
    <row r="1423" spans="2:2" x14ac:dyDescent="0.25">
      <c r="B1423" s="3"/>
    </row>
    <row r="1424" spans="2:2" x14ac:dyDescent="0.25">
      <c r="B1424" s="3"/>
    </row>
    <row r="1425" spans="2:2" x14ac:dyDescent="0.25">
      <c r="B1425" s="3"/>
    </row>
    <row r="1426" spans="2:2" x14ac:dyDescent="0.25">
      <c r="B1426" s="3"/>
    </row>
    <row r="1427" spans="2:2" x14ac:dyDescent="0.25">
      <c r="B1427" s="3"/>
    </row>
    <row r="1428" spans="2:2" x14ac:dyDescent="0.25">
      <c r="B1428" s="3"/>
    </row>
    <row r="1429" spans="2:2" x14ac:dyDescent="0.25">
      <c r="B1429" s="3"/>
    </row>
    <row r="1430" spans="2:2" x14ac:dyDescent="0.25">
      <c r="B1430" s="3"/>
    </row>
    <row r="1431" spans="2:2" x14ac:dyDescent="0.25">
      <c r="B1431" s="3"/>
    </row>
    <row r="1432" spans="2:2" x14ac:dyDescent="0.25">
      <c r="B1432" s="3"/>
    </row>
    <row r="1433" spans="2:2" x14ac:dyDescent="0.25">
      <c r="B1433" s="3"/>
    </row>
    <row r="1434" spans="2:2" x14ac:dyDescent="0.25">
      <c r="B1434" s="3"/>
    </row>
    <row r="1435" spans="2:2" x14ac:dyDescent="0.25">
      <c r="B1435" s="3"/>
    </row>
    <row r="1436" spans="2:2" x14ac:dyDescent="0.25">
      <c r="B1436" s="3"/>
    </row>
    <row r="1437" spans="2:2" x14ac:dyDescent="0.25">
      <c r="B1437" s="3"/>
    </row>
    <row r="1438" spans="2:2" x14ac:dyDescent="0.25">
      <c r="B1438" s="3"/>
    </row>
    <row r="1439" spans="2:2" x14ac:dyDescent="0.25">
      <c r="B1439" s="3"/>
    </row>
    <row r="1440" spans="2:2" x14ac:dyDescent="0.25">
      <c r="B1440" s="3"/>
    </row>
    <row r="1441" spans="2:2" x14ac:dyDescent="0.25">
      <c r="B1441" s="3"/>
    </row>
    <row r="1442" spans="2:2" x14ac:dyDescent="0.25">
      <c r="B1442" s="3"/>
    </row>
    <row r="1443" spans="2:2" x14ac:dyDescent="0.25">
      <c r="B1443" s="3"/>
    </row>
    <row r="1444" spans="2:2" x14ac:dyDescent="0.25">
      <c r="B1444" s="3"/>
    </row>
    <row r="1445" spans="2:2" x14ac:dyDescent="0.25">
      <c r="B1445" s="3"/>
    </row>
    <row r="1446" spans="2:2" x14ac:dyDescent="0.25">
      <c r="B1446" s="3"/>
    </row>
    <row r="1447" spans="2:2" x14ac:dyDescent="0.25">
      <c r="B1447" s="3"/>
    </row>
    <row r="1448" spans="2:2" x14ac:dyDescent="0.25">
      <c r="B1448" s="3"/>
    </row>
    <row r="1449" spans="2:2" x14ac:dyDescent="0.25">
      <c r="B1449" s="3"/>
    </row>
    <row r="1450" spans="2:2" x14ac:dyDescent="0.25">
      <c r="B1450" s="3"/>
    </row>
    <row r="1451" spans="2:2" x14ac:dyDescent="0.25">
      <c r="B1451" s="3"/>
    </row>
    <row r="1452" spans="2:2" x14ac:dyDescent="0.25">
      <c r="B1452" s="3"/>
    </row>
    <row r="1453" spans="2:2" x14ac:dyDescent="0.25">
      <c r="B1453" s="3"/>
    </row>
    <row r="1454" spans="2:2" x14ac:dyDescent="0.25">
      <c r="B1454" s="3"/>
    </row>
    <row r="1455" spans="2:2" x14ac:dyDescent="0.25">
      <c r="B1455" s="3"/>
    </row>
    <row r="1456" spans="2:2" x14ac:dyDescent="0.25">
      <c r="B1456" s="3"/>
    </row>
    <row r="1457" spans="2:2" x14ac:dyDescent="0.25">
      <c r="B1457" s="3"/>
    </row>
    <row r="1458" spans="2:2" x14ac:dyDescent="0.25">
      <c r="B1458" s="3"/>
    </row>
    <row r="1459" spans="2:2" x14ac:dyDescent="0.25">
      <c r="B1459" s="3"/>
    </row>
    <row r="1460" spans="2:2" x14ac:dyDescent="0.25">
      <c r="B1460" s="3"/>
    </row>
    <row r="1461" spans="2:2" x14ac:dyDescent="0.25">
      <c r="B1461" s="3"/>
    </row>
    <row r="1462" spans="2:2" x14ac:dyDescent="0.25">
      <c r="B1462" s="3"/>
    </row>
    <row r="1463" spans="2:2" x14ac:dyDescent="0.25">
      <c r="B1463" s="3"/>
    </row>
    <row r="1464" spans="2:2" x14ac:dyDescent="0.25">
      <c r="B1464" s="3"/>
    </row>
    <row r="1465" spans="2:2" x14ac:dyDescent="0.25">
      <c r="B1465" s="3"/>
    </row>
    <row r="1466" spans="2:2" x14ac:dyDescent="0.25">
      <c r="B1466" s="3"/>
    </row>
    <row r="1467" spans="2:2" x14ac:dyDescent="0.25">
      <c r="B1467" s="3"/>
    </row>
    <row r="1468" spans="2:2" x14ac:dyDescent="0.25">
      <c r="B1468" s="3"/>
    </row>
    <row r="1469" spans="2:2" x14ac:dyDescent="0.25">
      <c r="B1469" s="3"/>
    </row>
    <row r="1470" spans="2:2" x14ac:dyDescent="0.25">
      <c r="B1470" s="3"/>
    </row>
    <row r="1471" spans="2:2" x14ac:dyDescent="0.25">
      <c r="B1471" s="3"/>
    </row>
    <row r="1472" spans="2:2" x14ac:dyDescent="0.25">
      <c r="B1472" s="3"/>
    </row>
    <row r="1473" spans="2:2" x14ac:dyDescent="0.25">
      <c r="B1473" s="3"/>
    </row>
    <row r="1474" spans="2:2" x14ac:dyDescent="0.25">
      <c r="B1474" s="3"/>
    </row>
    <row r="1475" spans="2:2" x14ac:dyDescent="0.25">
      <c r="B1475" s="3"/>
    </row>
    <row r="1476" spans="2:2" x14ac:dyDescent="0.25">
      <c r="B1476" s="3"/>
    </row>
    <row r="1477" spans="2:2" x14ac:dyDescent="0.25">
      <c r="B1477" s="3"/>
    </row>
    <row r="1478" spans="2:2" x14ac:dyDescent="0.25">
      <c r="B1478" s="3"/>
    </row>
    <row r="1479" spans="2:2" x14ac:dyDescent="0.25">
      <c r="B1479" s="3"/>
    </row>
    <row r="1480" spans="2:2" x14ac:dyDescent="0.25">
      <c r="B1480" s="3"/>
    </row>
    <row r="1481" spans="2:2" x14ac:dyDescent="0.25">
      <c r="B1481" s="3"/>
    </row>
    <row r="1482" spans="2:2" x14ac:dyDescent="0.25">
      <c r="B1482" s="3"/>
    </row>
    <row r="1483" spans="2:2" x14ac:dyDescent="0.25">
      <c r="B1483" s="3"/>
    </row>
    <row r="1484" spans="2:2" x14ac:dyDescent="0.25">
      <c r="B1484" s="3"/>
    </row>
    <row r="1485" spans="2:2" x14ac:dyDescent="0.25">
      <c r="B1485" s="3"/>
    </row>
    <row r="1486" spans="2:2" x14ac:dyDescent="0.25">
      <c r="B1486" s="3"/>
    </row>
    <row r="1487" spans="2:2" x14ac:dyDescent="0.25">
      <c r="B1487" s="3"/>
    </row>
    <row r="1488" spans="2:2" x14ac:dyDescent="0.25">
      <c r="B1488" s="3"/>
    </row>
    <row r="1489" spans="2:2" x14ac:dyDescent="0.25">
      <c r="B1489" s="3"/>
    </row>
    <row r="1490" spans="2:2" x14ac:dyDescent="0.25">
      <c r="B1490" s="3"/>
    </row>
    <row r="1491" spans="2:2" x14ac:dyDescent="0.25">
      <c r="B1491" s="3"/>
    </row>
    <row r="1492" spans="2:2" x14ac:dyDescent="0.25">
      <c r="B1492" s="3"/>
    </row>
    <row r="1493" spans="2:2" x14ac:dyDescent="0.25">
      <c r="B1493" s="3"/>
    </row>
    <row r="1494" spans="2:2" x14ac:dyDescent="0.25">
      <c r="B1494" s="3"/>
    </row>
    <row r="1495" spans="2:2" x14ac:dyDescent="0.25">
      <c r="B1495" s="3"/>
    </row>
    <row r="1496" spans="2:2" x14ac:dyDescent="0.25">
      <c r="B1496" s="3"/>
    </row>
    <row r="1497" spans="2:2" x14ac:dyDescent="0.25">
      <c r="B1497" s="3"/>
    </row>
    <row r="1498" spans="2:2" x14ac:dyDescent="0.25">
      <c r="B1498" s="3"/>
    </row>
    <row r="1499" spans="2:2" x14ac:dyDescent="0.25">
      <c r="B1499" s="3"/>
    </row>
    <row r="1500" spans="2:2" x14ac:dyDescent="0.25">
      <c r="B1500" s="3"/>
    </row>
    <row r="1501" spans="2:2" x14ac:dyDescent="0.25">
      <c r="B1501" s="3"/>
    </row>
    <row r="1502" spans="2:2" x14ac:dyDescent="0.25">
      <c r="B1502" s="3"/>
    </row>
    <row r="1503" spans="2:2" x14ac:dyDescent="0.25">
      <c r="B1503" s="3"/>
    </row>
    <row r="1504" spans="2:2" x14ac:dyDescent="0.25">
      <c r="B1504" s="3"/>
    </row>
    <row r="1505" spans="2:2" x14ac:dyDescent="0.25">
      <c r="B1505" s="3"/>
    </row>
    <row r="1506" spans="2:2" x14ac:dyDescent="0.25">
      <c r="B1506" s="3"/>
    </row>
    <row r="1507" spans="2:2" x14ac:dyDescent="0.25">
      <c r="B1507" s="3"/>
    </row>
    <row r="1508" spans="2:2" x14ac:dyDescent="0.25">
      <c r="B1508" s="3"/>
    </row>
    <row r="1509" spans="2:2" x14ac:dyDescent="0.25">
      <c r="B1509" s="3"/>
    </row>
    <row r="1510" spans="2:2" x14ac:dyDescent="0.25">
      <c r="B1510" s="3"/>
    </row>
    <row r="1511" spans="2:2" x14ac:dyDescent="0.25">
      <c r="B1511" s="3"/>
    </row>
    <row r="1512" spans="2:2" x14ac:dyDescent="0.25">
      <c r="B1512" s="3"/>
    </row>
    <row r="1513" spans="2:2" x14ac:dyDescent="0.25">
      <c r="B1513" s="3"/>
    </row>
    <row r="1514" spans="2:2" x14ac:dyDescent="0.25">
      <c r="B1514" s="3"/>
    </row>
    <row r="1515" spans="2:2" x14ac:dyDescent="0.25">
      <c r="B1515" s="3"/>
    </row>
    <row r="1516" spans="2:2" x14ac:dyDescent="0.25">
      <c r="B1516" s="3"/>
    </row>
    <row r="1517" spans="2:2" x14ac:dyDescent="0.25">
      <c r="B1517" s="3"/>
    </row>
    <row r="1518" spans="2:2" x14ac:dyDescent="0.25">
      <c r="B1518" s="3"/>
    </row>
    <row r="1519" spans="2:2" x14ac:dyDescent="0.25">
      <c r="B1519" s="3"/>
    </row>
    <row r="1520" spans="2:2" x14ac:dyDescent="0.25">
      <c r="B1520" s="3"/>
    </row>
    <row r="1521" spans="2:2" x14ac:dyDescent="0.25">
      <c r="B1521" s="3"/>
    </row>
    <row r="1522" spans="2:2" x14ac:dyDescent="0.25">
      <c r="B1522" s="3"/>
    </row>
    <row r="1523" spans="2:2" x14ac:dyDescent="0.25">
      <c r="B1523" s="3"/>
    </row>
    <row r="1524" spans="2:2" x14ac:dyDescent="0.25">
      <c r="B1524" s="3"/>
    </row>
    <row r="1525" spans="2:2" x14ac:dyDescent="0.25">
      <c r="B1525" s="3"/>
    </row>
    <row r="1526" spans="2:2" x14ac:dyDescent="0.25">
      <c r="B1526" s="3"/>
    </row>
    <row r="1527" spans="2:2" x14ac:dyDescent="0.25">
      <c r="B1527" s="3"/>
    </row>
    <row r="1528" spans="2:2" x14ac:dyDescent="0.25">
      <c r="B1528" s="3"/>
    </row>
    <row r="1529" spans="2:2" x14ac:dyDescent="0.25">
      <c r="B1529" s="3"/>
    </row>
    <row r="1530" spans="2:2" x14ac:dyDescent="0.25">
      <c r="B1530" s="3"/>
    </row>
    <row r="1531" spans="2:2" x14ac:dyDescent="0.25">
      <c r="B1531" s="3"/>
    </row>
    <row r="1532" spans="2:2" x14ac:dyDescent="0.25">
      <c r="B1532" s="3"/>
    </row>
    <row r="1533" spans="2:2" x14ac:dyDescent="0.25">
      <c r="B1533" s="3"/>
    </row>
    <row r="1534" spans="2:2" x14ac:dyDescent="0.25">
      <c r="B1534" s="3"/>
    </row>
    <row r="1535" spans="2:2" x14ac:dyDescent="0.25">
      <c r="B1535" s="3"/>
    </row>
    <row r="1536" spans="2:2" x14ac:dyDescent="0.25">
      <c r="B1536" s="3"/>
    </row>
    <row r="1537" spans="2:2" x14ac:dyDescent="0.25">
      <c r="B1537" s="3"/>
    </row>
    <row r="1538" spans="2:2" x14ac:dyDescent="0.25">
      <c r="B1538" s="3"/>
    </row>
    <row r="1539" spans="2:2" x14ac:dyDescent="0.25">
      <c r="B1539" s="3"/>
    </row>
    <row r="1540" spans="2:2" x14ac:dyDescent="0.25">
      <c r="B1540" s="3"/>
    </row>
    <row r="1541" spans="2:2" x14ac:dyDescent="0.25">
      <c r="B1541" s="3"/>
    </row>
    <row r="1542" spans="2:2" x14ac:dyDescent="0.25">
      <c r="B1542" s="3"/>
    </row>
    <row r="1543" spans="2:2" x14ac:dyDescent="0.25">
      <c r="B1543" s="3"/>
    </row>
    <row r="1544" spans="2:2" x14ac:dyDescent="0.25">
      <c r="B1544" s="3"/>
    </row>
    <row r="1545" spans="2:2" x14ac:dyDescent="0.25">
      <c r="B1545" s="3"/>
    </row>
    <row r="1546" spans="2:2" x14ac:dyDescent="0.25">
      <c r="B1546" s="3"/>
    </row>
    <row r="1547" spans="2:2" x14ac:dyDescent="0.25">
      <c r="B1547" s="3"/>
    </row>
    <row r="1548" spans="2:2" x14ac:dyDescent="0.25">
      <c r="B1548" s="3"/>
    </row>
    <row r="1549" spans="2:2" x14ac:dyDescent="0.25">
      <c r="B1549" s="3"/>
    </row>
    <row r="1550" spans="2:2" x14ac:dyDescent="0.25">
      <c r="B1550" s="3"/>
    </row>
    <row r="1551" spans="2:2" x14ac:dyDescent="0.25">
      <c r="B1551" s="3"/>
    </row>
    <row r="1552" spans="2:2" x14ac:dyDescent="0.25">
      <c r="B1552" s="3"/>
    </row>
    <row r="1553" spans="2:2" x14ac:dyDescent="0.25">
      <c r="B1553" s="3"/>
    </row>
    <row r="1554" spans="2:2" x14ac:dyDescent="0.25">
      <c r="B1554" s="3"/>
    </row>
    <row r="1555" spans="2:2" x14ac:dyDescent="0.25">
      <c r="B1555" s="3"/>
    </row>
    <row r="1556" spans="2:2" x14ac:dyDescent="0.25">
      <c r="B1556" s="3"/>
    </row>
    <row r="1557" spans="2:2" x14ac:dyDescent="0.25">
      <c r="B1557" s="3"/>
    </row>
    <row r="1558" spans="2:2" x14ac:dyDescent="0.25">
      <c r="B1558" s="3"/>
    </row>
    <row r="1559" spans="2:2" x14ac:dyDescent="0.25">
      <c r="B1559" s="3"/>
    </row>
    <row r="1560" spans="2:2" x14ac:dyDescent="0.25">
      <c r="B1560" s="3"/>
    </row>
    <row r="1561" spans="2:2" x14ac:dyDescent="0.25">
      <c r="B1561" s="3"/>
    </row>
    <row r="1562" spans="2:2" x14ac:dyDescent="0.25">
      <c r="B1562" s="3"/>
    </row>
    <row r="1563" spans="2:2" x14ac:dyDescent="0.25">
      <c r="B1563" s="3"/>
    </row>
    <row r="1564" spans="2:2" x14ac:dyDescent="0.25">
      <c r="B1564" s="3"/>
    </row>
    <row r="1565" spans="2:2" x14ac:dyDescent="0.25">
      <c r="B1565" s="3"/>
    </row>
    <row r="1566" spans="2:2" x14ac:dyDescent="0.25">
      <c r="B1566" s="3"/>
    </row>
    <row r="1567" spans="2:2" x14ac:dyDescent="0.25">
      <c r="B1567" s="3"/>
    </row>
    <row r="1568" spans="2:2" x14ac:dyDescent="0.25">
      <c r="B1568" s="3"/>
    </row>
    <row r="1569" spans="2:2" x14ac:dyDescent="0.25">
      <c r="B1569" s="3"/>
    </row>
    <row r="1570" spans="2:2" x14ac:dyDescent="0.25">
      <c r="B1570" s="3"/>
    </row>
    <row r="1571" spans="2:2" x14ac:dyDescent="0.25">
      <c r="B1571" s="3"/>
    </row>
    <row r="1572" spans="2:2" x14ac:dyDescent="0.25">
      <c r="B1572" s="3"/>
    </row>
    <row r="1573" spans="2:2" x14ac:dyDescent="0.25">
      <c r="B1573" s="3"/>
    </row>
    <row r="1574" spans="2:2" x14ac:dyDescent="0.25">
      <c r="B1574" s="3"/>
    </row>
    <row r="1575" spans="2:2" x14ac:dyDescent="0.25">
      <c r="B1575" s="3"/>
    </row>
    <row r="1576" spans="2:2" x14ac:dyDescent="0.25">
      <c r="B1576" s="3"/>
    </row>
    <row r="1577" spans="2:2" x14ac:dyDescent="0.25">
      <c r="B1577" s="3"/>
    </row>
    <row r="1578" spans="2:2" x14ac:dyDescent="0.25">
      <c r="B1578" s="3"/>
    </row>
    <row r="1579" spans="2:2" x14ac:dyDescent="0.25">
      <c r="B1579" s="3"/>
    </row>
    <row r="1580" spans="2:2" x14ac:dyDescent="0.25">
      <c r="B1580" s="3"/>
    </row>
    <row r="1581" spans="2:2" x14ac:dyDescent="0.25">
      <c r="B1581" s="3"/>
    </row>
    <row r="1582" spans="2:2" x14ac:dyDescent="0.25">
      <c r="B1582" s="3"/>
    </row>
    <row r="1583" spans="2:2" x14ac:dyDescent="0.25">
      <c r="B1583" s="3"/>
    </row>
    <row r="1584" spans="2:2" x14ac:dyDescent="0.25">
      <c r="B1584" s="3"/>
    </row>
    <row r="1585" spans="2:2" x14ac:dyDescent="0.25">
      <c r="B1585" s="3"/>
    </row>
    <row r="1586" spans="2:2" x14ac:dyDescent="0.25">
      <c r="B1586" s="3"/>
    </row>
    <row r="1587" spans="2:2" x14ac:dyDescent="0.25">
      <c r="B1587" s="3"/>
    </row>
    <row r="1588" spans="2:2" x14ac:dyDescent="0.25">
      <c r="B1588" s="3"/>
    </row>
    <row r="1589" spans="2:2" x14ac:dyDescent="0.25">
      <c r="B1589" s="3"/>
    </row>
    <row r="1590" spans="2:2" x14ac:dyDescent="0.25">
      <c r="B1590" s="3"/>
    </row>
    <row r="1591" spans="2:2" x14ac:dyDescent="0.25">
      <c r="B1591" s="3"/>
    </row>
    <row r="1592" spans="2:2" x14ac:dyDescent="0.25">
      <c r="B1592" s="3"/>
    </row>
    <row r="1593" spans="2:2" x14ac:dyDescent="0.25">
      <c r="B1593" s="3"/>
    </row>
    <row r="1594" spans="2:2" x14ac:dyDescent="0.25">
      <c r="B1594" s="3"/>
    </row>
    <row r="1595" spans="2:2" x14ac:dyDescent="0.25">
      <c r="B1595" s="3"/>
    </row>
    <row r="1596" spans="2:2" x14ac:dyDescent="0.25">
      <c r="B1596" s="3"/>
    </row>
    <row r="1597" spans="2:2" x14ac:dyDescent="0.25">
      <c r="B1597" s="3"/>
    </row>
    <row r="1598" spans="2:2" x14ac:dyDescent="0.25">
      <c r="B1598" s="3"/>
    </row>
    <row r="1599" spans="2:2" x14ac:dyDescent="0.25">
      <c r="B1599" s="3"/>
    </row>
    <row r="1600" spans="2:2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2:2" x14ac:dyDescent="0.25">
      <c r="B1681" s="3"/>
    </row>
    <row r="1682" spans="2:2" x14ac:dyDescent="0.25">
      <c r="B1682" s="3"/>
    </row>
    <row r="1683" spans="2:2" x14ac:dyDescent="0.25">
      <c r="B1683" s="3"/>
    </row>
    <row r="1684" spans="2:2" x14ac:dyDescent="0.25">
      <c r="B1684" s="3"/>
    </row>
    <row r="1685" spans="2:2" x14ac:dyDescent="0.25">
      <c r="B1685" s="3"/>
    </row>
    <row r="1686" spans="2:2" x14ac:dyDescent="0.25">
      <c r="B1686" s="3"/>
    </row>
    <row r="1687" spans="2:2" x14ac:dyDescent="0.25">
      <c r="B1687" s="3"/>
    </row>
    <row r="1688" spans="2:2" x14ac:dyDescent="0.25">
      <c r="B1688" s="3"/>
    </row>
    <row r="1689" spans="2:2" x14ac:dyDescent="0.25">
      <c r="B1689" s="3"/>
    </row>
    <row r="1690" spans="2:2" x14ac:dyDescent="0.25">
      <c r="B1690" s="3"/>
    </row>
    <row r="1691" spans="2:2" x14ac:dyDescent="0.25">
      <c r="B1691" s="3"/>
    </row>
    <row r="1692" spans="2:2" x14ac:dyDescent="0.25">
      <c r="B1692" s="3"/>
    </row>
    <row r="1693" spans="2:2" x14ac:dyDescent="0.25">
      <c r="B1693" s="3"/>
    </row>
    <row r="1694" spans="2:2" x14ac:dyDescent="0.25">
      <c r="B1694" s="3"/>
    </row>
    <row r="1695" spans="2:2" x14ac:dyDescent="0.25">
      <c r="B1695" s="3"/>
    </row>
    <row r="1696" spans="2:2" x14ac:dyDescent="0.25">
      <c r="B1696" s="3"/>
    </row>
    <row r="1697" spans="2:2" x14ac:dyDescent="0.25">
      <c r="B1697" s="3"/>
    </row>
    <row r="1698" spans="2:2" x14ac:dyDescent="0.25">
      <c r="B1698" s="3"/>
    </row>
    <row r="1699" spans="2:2" x14ac:dyDescent="0.25">
      <c r="B1699" s="3"/>
    </row>
    <row r="1700" spans="2:2" x14ac:dyDescent="0.25">
      <c r="B1700" s="3"/>
    </row>
    <row r="1701" spans="2:2" x14ac:dyDescent="0.25">
      <c r="B1701" s="3"/>
    </row>
    <row r="1702" spans="2:2" x14ac:dyDescent="0.25">
      <c r="B1702" s="3"/>
    </row>
    <row r="1703" spans="2:2" x14ac:dyDescent="0.25">
      <c r="B1703" s="3"/>
    </row>
    <row r="1704" spans="2:2" x14ac:dyDescent="0.25">
      <c r="B1704" s="3"/>
    </row>
    <row r="1705" spans="2:2" x14ac:dyDescent="0.25">
      <c r="B1705" s="3"/>
    </row>
    <row r="1706" spans="2:2" x14ac:dyDescent="0.25">
      <c r="B1706" s="3"/>
    </row>
    <row r="1707" spans="2:2" x14ac:dyDescent="0.25">
      <c r="B1707" s="3"/>
    </row>
    <row r="1708" spans="2:2" x14ac:dyDescent="0.25">
      <c r="B1708" s="3"/>
    </row>
    <row r="1709" spans="2:2" x14ac:dyDescent="0.25">
      <c r="B1709" s="3"/>
    </row>
    <row r="1710" spans="2:2" x14ac:dyDescent="0.25">
      <c r="B1710" s="3"/>
    </row>
    <row r="1711" spans="2:2" x14ac:dyDescent="0.25">
      <c r="B1711" s="3"/>
    </row>
    <row r="1712" spans="2:2" x14ac:dyDescent="0.25">
      <c r="B1712" s="3"/>
    </row>
    <row r="1713" spans="2:2" x14ac:dyDescent="0.25">
      <c r="B1713" s="3"/>
    </row>
    <row r="1714" spans="2:2" x14ac:dyDescent="0.25">
      <c r="B1714" s="3"/>
    </row>
    <row r="1715" spans="2:2" x14ac:dyDescent="0.25">
      <c r="B1715" s="3"/>
    </row>
    <row r="1716" spans="2:2" x14ac:dyDescent="0.25">
      <c r="B1716" s="3"/>
    </row>
    <row r="1717" spans="2:2" x14ac:dyDescent="0.25">
      <c r="B1717" s="3"/>
    </row>
    <row r="1718" spans="2:2" x14ac:dyDescent="0.25">
      <c r="B1718" s="3"/>
    </row>
    <row r="1719" spans="2:2" x14ac:dyDescent="0.25">
      <c r="B1719" s="3"/>
    </row>
    <row r="1720" spans="2:2" x14ac:dyDescent="0.25">
      <c r="B1720" s="3"/>
    </row>
    <row r="1721" spans="2:2" x14ac:dyDescent="0.25">
      <c r="B1721" s="3"/>
    </row>
    <row r="1722" spans="2:2" x14ac:dyDescent="0.25">
      <c r="B1722" s="3"/>
    </row>
    <row r="1723" spans="2:2" x14ac:dyDescent="0.25">
      <c r="B1723" s="3"/>
    </row>
    <row r="1724" spans="2:2" x14ac:dyDescent="0.25">
      <c r="B1724" s="3"/>
    </row>
    <row r="1725" spans="2:2" x14ac:dyDescent="0.25">
      <c r="B1725" s="3"/>
    </row>
    <row r="1726" spans="2:2" x14ac:dyDescent="0.25">
      <c r="B1726" s="3"/>
    </row>
    <row r="1727" spans="2:2" x14ac:dyDescent="0.25">
      <c r="B1727" s="3"/>
    </row>
    <row r="1728" spans="2:2" x14ac:dyDescent="0.25">
      <c r="B1728" s="3"/>
    </row>
    <row r="1729" spans="2:2" x14ac:dyDescent="0.25">
      <c r="B1729" s="3"/>
    </row>
    <row r="1730" spans="2:2" x14ac:dyDescent="0.25">
      <c r="B1730" s="3"/>
    </row>
    <row r="1731" spans="2:2" x14ac:dyDescent="0.25">
      <c r="B1731" s="3"/>
    </row>
    <row r="1732" spans="2:2" x14ac:dyDescent="0.25">
      <c r="B1732" s="3"/>
    </row>
    <row r="1733" spans="2:2" x14ac:dyDescent="0.25">
      <c r="B1733" s="3"/>
    </row>
    <row r="1734" spans="2:2" x14ac:dyDescent="0.25">
      <c r="B1734" s="3"/>
    </row>
    <row r="1735" spans="2:2" x14ac:dyDescent="0.25">
      <c r="B1735" s="3"/>
    </row>
    <row r="1736" spans="2:2" x14ac:dyDescent="0.25">
      <c r="B1736" s="3"/>
    </row>
    <row r="1737" spans="2:2" x14ac:dyDescent="0.25">
      <c r="B1737" s="3"/>
    </row>
    <row r="1738" spans="2:2" x14ac:dyDescent="0.25">
      <c r="B1738" s="3"/>
    </row>
    <row r="1739" spans="2:2" x14ac:dyDescent="0.25">
      <c r="B1739" s="3"/>
    </row>
    <row r="1740" spans="2:2" x14ac:dyDescent="0.25">
      <c r="B1740" s="3"/>
    </row>
    <row r="1741" spans="2:2" x14ac:dyDescent="0.25">
      <c r="B1741" s="3"/>
    </row>
    <row r="1742" spans="2:2" x14ac:dyDescent="0.25">
      <c r="B1742" s="3"/>
    </row>
    <row r="1743" spans="2:2" x14ac:dyDescent="0.25">
      <c r="B1743" s="3"/>
    </row>
    <row r="1744" spans="2:2" x14ac:dyDescent="0.25">
      <c r="B1744" s="3"/>
    </row>
    <row r="1745" spans="2:2" x14ac:dyDescent="0.25">
      <c r="B1745" s="3"/>
    </row>
    <row r="1746" spans="2:2" x14ac:dyDescent="0.25">
      <c r="B1746" s="3"/>
    </row>
    <row r="1747" spans="2:2" x14ac:dyDescent="0.25">
      <c r="B1747" s="3"/>
    </row>
    <row r="1748" spans="2:2" x14ac:dyDescent="0.25">
      <c r="B1748" s="3"/>
    </row>
    <row r="1749" spans="2:2" x14ac:dyDescent="0.25">
      <c r="B1749" s="3"/>
    </row>
    <row r="1750" spans="2:2" x14ac:dyDescent="0.25">
      <c r="B1750" s="3"/>
    </row>
    <row r="1751" spans="2:2" x14ac:dyDescent="0.25">
      <c r="B1751" s="3"/>
    </row>
    <row r="1752" spans="2:2" x14ac:dyDescent="0.25">
      <c r="B1752" s="3"/>
    </row>
    <row r="1753" spans="2:2" x14ac:dyDescent="0.25">
      <c r="B1753" s="3"/>
    </row>
    <row r="1754" spans="2:2" x14ac:dyDescent="0.25">
      <c r="B1754" s="3"/>
    </row>
    <row r="1755" spans="2:2" x14ac:dyDescent="0.25">
      <c r="B1755" s="3"/>
    </row>
    <row r="1756" spans="2:2" x14ac:dyDescent="0.25">
      <c r="B1756" s="3"/>
    </row>
    <row r="1757" spans="2:2" x14ac:dyDescent="0.25">
      <c r="B1757" s="3"/>
    </row>
    <row r="1758" spans="2:2" x14ac:dyDescent="0.25">
      <c r="B1758" s="3"/>
    </row>
    <row r="1759" spans="2:2" x14ac:dyDescent="0.25">
      <c r="B1759" s="3"/>
    </row>
    <row r="1760" spans="2:2" x14ac:dyDescent="0.25">
      <c r="B1760" s="3"/>
    </row>
    <row r="1761" spans="2:2" x14ac:dyDescent="0.25">
      <c r="B1761" s="3"/>
    </row>
    <row r="1762" spans="2:2" x14ac:dyDescent="0.25">
      <c r="B1762" s="3"/>
    </row>
    <row r="1763" spans="2:2" x14ac:dyDescent="0.25">
      <c r="B1763" s="3"/>
    </row>
    <row r="1764" spans="2:2" x14ac:dyDescent="0.25">
      <c r="B1764" s="3"/>
    </row>
    <row r="1765" spans="2:2" x14ac:dyDescent="0.25">
      <c r="B1765" s="3"/>
    </row>
    <row r="1766" spans="2:2" x14ac:dyDescent="0.25">
      <c r="B1766" s="3"/>
    </row>
    <row r="1767" spans="2:2" x14ac:dyDescent="0.25">
      <c r="B1767" s="3"/>
    </row>
    <row r="1768" spans="2:2" x14ac:dyDescent="0.25">
      <c r="B1768" s="3"/>
    </row>
    <row r="1769" spans="2:2" x14ac:dyDescent="0.25">
      <c r="B1769" s="3"/>
    </row>
    <row r="1770" spans="2:2" x14ac:dyDescent="0.25">
      <c r="B1770" s="3"/>
    </row>
    <row r="1771" spans="2:2" x14ac:dyDescent="0.25">
      <c r="B1771" s="3"/>
    </row>
    <row r="1772" spans="2:2" x14ac:dyDescent="0.25">
      <c r="B1772" s="3"/>
    </row>
    <row r="1773" spans="2:2" x14ac:dyDescent="0.25">
      <c r="B1773" s="3"/>
    </row>
    <row r="1774" spans="2:2" x14ac:dyDescent="0.25">
      <c r="B1774" s="3"/>
    </row>
    <row r="1775" spans="2:2" x14ac:dyDescent="0.25">
      <c r="B1775" s="3"/>
    </row>
    <row r="1776" spans="2:2" x14ac:dyDescent="0.25">
      <c r="B1776" s="3"/>
    </row>
    <row r="1777" spans="2:2" x14ac:dyDescent="0.25">
      <c r="B1777" s="3"/>
    </row>
    <row r="1778" spans="2:2" x14ac:dyDescent="0.25">
      <c r="B1778" s="3"/>
    </row>
    <row r="1779" spans="2:2" x14ac:dyDescent="0.25">
      <c r="B1779" s="3"/>
    </row>
    <row r="1780" spans="2:2" x14ac:dyDescent="0.25">
      <c r="B1780" s="3"/>
    </row>
    <row r="1781" spans="2:2" x14ac:dyDescent="0.25">
      <c r="B1781" s="3"/>
    </row>
    <row r="1782" spans="2:2" x14ac:dyDescent="0.25">
      <c r="B1782" s="3"/>
    </row>
    <row r="1783" spans="2:2" x14ac:dyDescent="0.25">
      <c r="B1783" s="3"/>
    </row>
    <row r="1784" spans="2:2" x14ac:dyDescent="0.25">
      <c r="B1784" s="3"/>
    </row>
    <row r="1785" spans="2:2" x14ac:dyDescent="0.25">
      <c r="B1785" s="3"/>
    </row>
    <row r="1786" spans="2:2" x14ac:dyDescent="0.25">
      <c r="B1786" s="3"/>
    </row>
    <row r="1787" spans="2:2" x14ac:dyDescent="0.25">
      <c r="B1787" s="3"/>
    </row>
    <row r="1788" spans="2:2" x14ac:dyDescent="0.25">
      <c r="B1788" s="3"/>
    </row>
    <row r="1789" spans="2:2" x14ac:dyDescent="0.25">
      <c r="B1789" s="3"/>
    </row>
    <row r="1790" spans="2:2" x14ac:dyDescent="0.25">
      <c r="B1790" s="3"/>
    </row>
    <row r="1791" spans="2:2" x14ac:dyDescent="0.25">
      <c r="B1791" s="3"/>
    </row>
    <row r="1792" spans="2:2" x14ac:dyDescent="0.25">
      <c r="B1792" s="3"/>
    </row>
    <row r="1793" spans="2:2" x14ac:dyDescent="0.25">
      <c r="B1793" s="3"/>
    </row>
    <row r="1794" spans="2:2" x14ac:dyDescent="0.25">
      <c r="B1794" s="3"/>
    </row>
    <row r="1795" spans="2:2" x14ac:dyDescent="0.25">
      <c r="B1795" s="3"/>
    </row>
    <row r="1796" spans="2:2" x14ac:dyDescent="0.25">
      <c r="B1796" s="3"/>
    </row>
    <row r="1797" spans="2:2" x14ac:dyDescent="0.25">
      <c r="B1797" s="3"/>
    </row>
    <row r="1798" spans="2:2" x14ac:dyDescent="0.25">
      <c r="B1798" s="3"/>
    </row>
    <row r="1799" spans="2:2" x14ac:dyDescent="0.25">
      <c r="B1799" s="3"/>
    </row>
    <row r="1800" spans="2:2" x14ac:dyDescent="0.25">
      <c r="B1800" s="3"/>
    </row>
    <row r="1801" spans="2:2" x14ac:dyDescent="0.25">
      <c r="B1801" s="3"/>
    </row>
    <row r="1802" spans="2:2" x14ac:dyDescent="0.25">
      <c r="B1802" s="3"/>
    </row>
    <row r="1803" spans="2:2" x14ac:dyDescent="0.25">
      <c r="B1803" s="3"/>
    </row>
    <row r="1804" spans="2:2" x14ac:dyDescent="0.25">
      <c r="B1804" s="3"/>
    </row>
    <row r="1805" spans="2:2" x14ac:dyDescent="0.25">
      <c r="B1805" s="3"/>
    </row>
    <row r="1806" spans="2:2" x14ac:dyDescent="0.25">
      <c r="B1806" s="3"/>
    </row>
    <row r="1807" spans="2:2" x14ac:dyDescent="0.25">
      <c r="B1807" s="3"/>
    </row>
    <row r="1808" spans="2:2" x14ac:dyDescent="0.25">
      <c r="B1808" s="3"/>
    </row>
    <row r="1809" spans="2:2" x14ac:dyDescent="0.25">
      <c r="B1809" s="3"/>
    </row>
    <row r="1810" spans="2:2" x14ac:dyDescent="0.25">
      <c r="B1810" s="3"/>
    </row>
    <row r="1811" spans="2:2" x14ac:dyDescent="0.25">
      <c r="B1811" s="3"/>
    </row>
    <row r="1812" spans="2:2" x14ac:dyDescent="0.25">
      <c r="B1812" s="3"/>
    </row>
    <row r="1813" spans="2:2" x14ac:dyDescent="0.25">
      <c r="B1813" s="3"/>
    </row>
    <row r="1814" spans="2:2" x14ac:dyDescent="0.25">
      <c r="B1814" s="3"/>
    </row>
    <row r="1815" spans="2:2" x14ac:dyDescent="0.25">
      <c r="B1815" s="3"/>
    </row>
    <row r="1816" spans="2:2" x14ac:dyDescent="0.25">
      <c r="B1816" s="3"/>
    </row>
    <row r="1817" spans="2:2" x14ac:dyDescent="0.25">
      <c r="B1817" s="3"/>
    </row>
    <row r="1818" spans="2:2" x14ac:dyDescent="0.25">
      <c r="B1818" s="3"/>
    </row>
    <row r="1819" spans="2:2" x14ac:dyDescent="0.25">
      <c r="B1819" s="3"/>
    </row>
    <row r="1820" spans="2:2" x14ac:dyDescent="0.25">
      <c r="B1820" s="3"/>
    </row>
    <row r="1821" spans="2:2" x14ac:dyDescent="0.25">
      <c r="B1821" s="3"/>
    </row>
    <row r="1822" spans="2:2" x14ac:dyDescent="0.25">
      <c r="B1822" s="3"/>
    </row>
    <row r="1823" spans="2:2" x14ac:dyDescent="0.25">
      <c r="B1823" s="3"/>
    </row>
    <row r="1824" spans="2:2" x14ac:dyDescent="0.25">
      <c r="B1824" s="3"/>
    </row>
    <row r="1825" spans="2:2" x14ac:dyDescent="0.25">
      <c r="B1825" s="3"/>
    </row>
    <row r="1826" spans="2:2" x14ac:dyDescent="0.25">
      <c r="B1826" s="3"/>
    </row>
    <row r="1827" spans="2:2" x14ac:dyDescent="0.25">
      <c r="B1827" s="3"/>
    </row>
    <row r="1828" spans="2:2" x14ac:dyDescent="0.25">
      <c r="B1828" s="3"/>
    </row>
    <row r="1829" spans="2:2" x14ac:dyDescent="0.25">
      <c r="B1829" s="3"/>
    </row>
    <row r="1830" spans="2:2" x14ac:dyDescent="0.25">
      <c r="B1830" s="3"/>
    </row>
    <row r="1831" spans="2:2" x14ac:dyDescent="0.25">
      <c r="B1831" s="3"/>
    </row>
    <row r="1832" spans="2:2" x14ac:dyDescent="0.25">
      <c r="B1832" s="3"/>
    </row>
    <row r="1833" spans="2:2" x14ac:dyDescent="0.25">
      <c r="B1833" s="3"/>
    </row>
    <row r="1834" spans="2:2" x14ac:dyDescent="0.25">
      <c r="B1834" s="3"/>
    </row>
    <row r="1835" spans="2:2" x14ac:dyDescent="0.25">
      <c r="B1835" s="3"/>
    </row>
    <row r="1836" spans="2:2" x14ac:dyDescent="0.25">
      <c r="B1836" s="3"/>
    </row>
    <row r="1837" spans="2:2" x14ac:dyDescent="0.25">
      <c r="B1837" s="3"/>
    </row>
    <row r="1838" spans="2:2" x14ac:dyDescent="0.25">
      <c r="B1838" s="3"/>
    </row>
    <row r="1839" spans="2:2" x14ac:dyDescent="0.25">
      <c r="B1839" s="3"/>
    </row>
    <row r="1840" spans="2:2" x14ac:dyDescent="0.25">
      <c r="B1840" s="3"/>
    </row>
    <row r="1841" spans="2:2" x14ac:dyDescent="0.25">
      <c r="B1841" s="3"/>
    </row>
    <row r="1842" spans="2:2" x14ac:dyDescent="0.25">
      <c r="B1842" s="3"/>
    </row>
    <row r="1843" spans="2:2" x14ac:dyDescent="0.25">
      <c r="B1843" s="3"/>
    </row>
    <row r="1844" spans="2:2" x14ac:dyDescent="0.25">
      <c r="B1844" s="3"/>
    </row>
    <row r="1845" spans="2:2" x14ac:dyDescent="0.25">
      <c r="B1845" s="3"/>
    </row>
    <row r="1846" spans="2:2" x14ac:dyDescent="0.25">
      <c r="B1846" s="3"/>
    </row>
    <row r="1847" spans="2:2" x14ac:dyDescent="0.25">
      <c r="B1847" s="3"/>
    </row>
    <row r="1848" spans="2:2" x14ac:dyDescent="0.25">
      <c r="B1848" s="3"/>
    </row>
    <row r="1849" spans="2:2" x14ac:dyDescent="0.25">
      <c r="B1849" s="3"/>
    </row>
    <row r="1850" spans="2:2" x14ac:dyDescent="0.25">
      <c r="B1850" s="3"/>
    </row>
    <row r="1851" spans="2:2" x14ac:dyDescent="0.25">
      <c r="B1851" s="3"/>
    </row>
    <row r="1852" spans="2:2" x14ac:dyDescent="0.25">
      <c r="B1852" s="3"/>
    </row>
    <row r="1853" spans="2:2" x14ac:dyDescent="0.25">
      <c r="B1853" s="3"/>
    </row>
    <row r="1854" spans="2:2" x14ac:dyDescent="0.25">
      <c r="B1854" s="3"/>
    </row>
    <row r="1855" spans="2:2" x14ac:dyDescent="0.25">
      <c r="B1855" s="3"/>
    </row>
    <row r="1856" spans="2:2" x14ac:dyDescent="0.25">
      <c r="B1856" s="3"/>
    </row>
    <row r="1857" spans="2:2" x14ac:dyDescent="0.25">
      <c r="B1857" s="3"/>
    </row>
    <row r="1858" spans="2:2" x14ac:dyDescent="0.25">
      <c r="B1858" s="3"/>
    </row>
    <row r="1859" spans="2:2" x14ac:dyDescent="0.25">
      <c r="B1859" s="3"/>
    </row>
    <row r="1860" spans="2:2" x14ac:dyDescent="0.25">
      <c r="B1860" s="3"/>
    </row>
    <row r="1861" spans="2:2" x14ac:dyDescent="0.25">
      <c r="B1861" s="3"/>
    </row>
    <row r="1862" spans="2:2" x14ac:dyDescent="0.25">
      <c r="B1862" s="3"/>
    </row>
    <row r="1863" spans="2:2" x14ac:dyDescent="0.25">
      <c r="B1863" s="3"/>
    </row>
    <row r="1864" spans="2:2" x14ac:dyDescent="0.25">
      <c r="B1864" s="3"/>
    </row>
    <row r="1865" spans="2:2" x14ac:dyDescent="0.25">
      <c r="B1865" s="3"/>
    </row>
    <row r="1866" spans="2:2" x14ac:dyDescent="0.25">
      <c r="B1866" s="3"/>
    </row>
    <row r="1867" spans="2:2" x14ac:dyDescent="0.25">
      <c r="B1867" s="3"/>
    </row>
    <row r="1868" spans="2:2" x14ac:dyDescent="0.25">
      <c r="B1868" s="3"/>
    </row>
    <row r="1869" spans="2:2" x14ac:dyDescent="0.25">
      <c r="B1869" s="3"/>
    </row>
    <row r="1870" spans="2:2" x14ac:dyDescent="0.25">
      <c r="B1870" s="3"/>
    </row>
    <row r="1871" spans="2:2" x14ac:dyDescent="0.25">
      <c r="B1871" s="3"/>
    </row>
    <row r="1872" spans="2:2" x14ac:dyDescent="0.25">
      <c r="B1872" s="3"/>
    </row>
    <row r="1873" spans="2:2" x14ac:dyDescent="0.25">
      <c r="B1873" s="3"/>
    </row>
    <row r="1874" spans="2:2" x14ac:dyDescent="0.25">
      <c r="B1874" s="3"/>
    </row>
    <row r="1875" spans="2:2" x14ac:dyDescent="0.25">
      <c r="B1875" s="3"/>
    </row>
    <row r="1876" spans="2:2" x14ac:dyDescent="0.25">
      <c r="B1876" s="3"/>
    </row>
    <row r="1877" spans="2:2" x14ac:dyDescent="0.25">
      <c r="B1877" s="3"/>
    </row>
    <row r="1878" spans="2:2" x14ac:dyDescent="0.25">
      <c r="B1878" s="3"/>
    </row>
    <row r="1879" spans="2:2" x14ac:dyDescent="0.25">
      <c r="B1879" s="3"/>
    </row>
    <row r="1880" spans="2:2" x14ac:dyDescent="0.25">
      <c r="B1880" s="3"/>
    </row>
    <row r="1881" spans="2:2" x14ac:dyDescent="0.25">
      <c r="B1881" s="3"/>
    </row>
    <row r="1882" spans="2:2" x14ac:dyDescent="0.25">
      <c r="B1882" s="3"/>
    </row>
    <row r="1883" spans="2:2" x14ac:dyDescent="0.25">
      <c r="B1883" s="3"/>
    </row>
    <row r="1884" spans="2:2" x14ac:dyDescent="0.25">
      <c r="B1884" s="3"/>
    </row>
    <row r="1885" spans="2:2" x14ac:dyDescent="0.25">
      <c r="B1885" s="3"/>
    </row>
    <row r="1886" spans="2:2" x14ac:dyDescent="0.25">
      <c r="B1886" s="3"/>
    </row>
    <row r="1887" spans="2:2" x14ac:dyDescent="0.25">
      <c r="B1887" s="3"/>
    </row>
    <row r="1888" spans="2:2" x14ac:dyDescent="0.25">
      <c r="B1888" s="3"/>
    </row>
    <row r="1889" spans="2:2" x14ac:dyDescent="0.25">
      <c r="B1889" s="3"/>
    </row>
    <row r="1890" spans="2:2" x14ac:dyDescent="0.25">
      <c r="B1890" s="3"/>
    </row>
    <row r="1891" spans="2:2" x14ac:dyDescent="0.25">
      <c r="B1891" s="3"/>
    </row>
    <row r="1892" spans="2:2" x14ac:dyDescent="0.25">
      <c r="B1892" s="3"/>
    </row>
    <row r="1893" spans="2:2" x14ac:dyDescent="0.25">
      <c r="B1893" s="3"/>
    </row>
    <row r="1894" spans="2:2" x14ac:dyDescent="0.25">
      <c r="B1894" s="3"/>
    </row>
    <row r="1895" spans="2:2" x14ac:dyDescent="0.25">
      <c r="B1895" s="3"/>
    </row>
    <row r="1896" spans="2:2" x14ac:dyDescent="0.25">
      <c r="B1896" s="3"/>
    </row>
    <row r="1897" spans="2:2" x14ac:dyDescent="0.25">
      <c r="B1897" s="3"/>
    </row>
    <row r="1898" spans="2:2" x14ac:dyDescent="0.25">
      <c r="B1898" s="3"/>
    </row>
    <row r="1899" spans="2:2" x14ac:dyDescent="0.25">
      <c r="B1899" s="3"/>
    </row>
    <row r="1900" spans="2:2" x14ac:dyDescent="0.25">
      <c r="B1900" s="3"/>
    </row>
    <row r="1901" spans="2:2" x14ac:dyDescent="0.25">
      <c r="B1901" s="3"/>
    </row>
    <row r="1902" spans="2:2" x14ac:dyDescent="0.25">
      <c r="B1902" s="3"/>
    </row>
    <row r="1903" spans="2:2" x14ac:dyDescent="0.25">
      <c r="B1903" s="3"/>
    </row>
    <row r="1904" spans="2:2" x14ac:dyDescent="0.25">
      <c r="B1904" s="3"/>
    </row>
    <row r="1905" spans="2:2" x14ac:dyDescent="0.25">
      <c r="B1905" s="3"/>
    </row>
    <row r="1906" spans="2:2" x14ac:dyDescent="0.25">
      <c r="B1906" s="3"/>
    </row>
    <row r="1907" spans="2:2" x14ac:dyDescent="0.25">
      <c r="B1907" s="3"/>
    </row>
    <row r="1908" spans="2:2" x14ac:dyDescent="0.25">
      <c r="B1908" s="3"/>
    </row>
    <row r="1909" spans="2:2" x14ac:dyDescent="0.25">
      <c r="B1909" s="3"/>
    </row>
    <row r="1910" spans="2:2" x14ac:dyDescent="0.25">
      <c r="B1910" s="3"/>
    </row>
    <row r="1911" spans="2:2" x14ac:dyDescent="0.25">
      <c r="B1911" s="3"/>
    </row>
    <row r="1912" spans="2:2" x14ac:dyDescent="0.25">
      <c r="B1912" s="3"/>
    </row>
    <row r="1913" spans="2:2" x14ac:dyDescent="0.25">
      <c r="B1913" s="3"/>
    </row>
    <row r="1914" spans="2:2" x14ac:dyDescent="0.25">
      <c r="B1914" s="3"/>
    </row>
    <row r="1915" spans="2:2" x14ac:dyDescent="0.25">
      <c r="B1915" s="3"/>
    </row>
    <row r="1916" spans="2:2" x14ac:dyDescent="0.25">
      <c r="B1916" s="3"/>
    </row>
    <row r="1917" spans="2:2" x14ac:dyDescent="0.25">
      <c r="B1917" s="3"/>
    </row>
    <row r="1918" spans="2:2" x14ac:dyDescent="0.25">
      <c r="B1918" s="3"/>
    </row>
    <row r="1919" spans="2:2" x14ac:dyDescent="0.25">
      <c r="B1919" s="3"/>
    </row>
    <row r="1920" spans="2:2" x14ac:dyDescent="0.25">
      <c r="B1920" s="3"/>
    </row>
    <row r="1921" spans="2:2" x14ac:dyDescent="0.25">
      <c r="B1921" s="3"/>
    </row>
    <row r="1922" spans="2:2" x14ac:dyDescent="0.25">
      <c r="B1922" s="3"/>
    </row>
    <row r="1923" spans="2:2" x14ac:dyDescent="0.25">
      <c r="B1923" s="3"/>
    </row>
    <row r="1924" spans="2:2" x14ac:dyDescent="0.25">
      <c r="B1924" s="3"/>
    </row>
    <row r="1925" spans="2:2" x14ac:dyDescent="0.25">
      <c r="B1925" s="3"/>
    </row>
    <row r="1926" spans="2:2" x14ac:dyDescent="0.25">
      <c r="B1926" s="3"/>
    </row>
    <row r="1927" spans="2:2" x14ac:dyDescent="0.25">
      <c r="B1927" s="3"/>
    </row>
    <row r="1928" spans="2:2" x14ac:dyDescent="0.25">
      <c r="B1928" s="3"/>
    </row>
    <row r="1929" spans="2:2" x14ac:dyDescent="0.25">
      <c r="B1929" s="3"/>
    </row>
    <row r="1930" spans="2:2" x14ac:dyDescent="0.25">
      <c r="B1930" s="3"/>
    </row>
    <row r="1931" spans="2:2" x14ac:dyDescent="0.25">
      <c r="B1931" s="3"/>
    </row>
    <row r="1932" spans="2:2" x14ac:dyDescent="0.25">
      <c r="B1932" s="3"/>
    </row>
    <row r="1933" spans="2:2" x14ac:dyDescent="0.25">
      <c r="B1933" s="3"/>
    </row>
    <row r="1934" spans="2:2" x14ac:dyDescent="0.25">
      <c r="B1934" s="3"/>
    </row>
    <row r="1935" spans="2:2" x14ac:dyDescent="0.25">
      <c r="B1935" s="3"/>
    </row>
    <row r="1936" spans="2:2" x14ac:dyDescent="0.25">
      <c r="B1936" s="3"/>
    </row>
    <row r="1937" spans="2:2" x14ac:dyDescent="0.25">
      <c r="B1937" s="3"/>
    </row>
    <row r="1938" spans="2:2" x14ac:dyDescent="0.25">
      <c r="B1938" s="3"/>
    </row>
    <row r="1939" spans="2:2" x14ac:dyDescent="0.25">
      <c r="B1939" s="3"/>
    </row>
    <row r="1940" spans="2:2" x14ac:dyDescent="0.25">
      <c r="B1940" s="3"/>
    </row>
    <row r="1941" spans="2:2" x14ac:dyDescent="0.25">
      <c r="B1941" s="3"/>
    </row>
    <row r="1942" spans="2:2" x14ac:dyDescent="0.25">
      <c r="B1942" s="3"/>
    </row>
    <row r="1943" spans="2:2" x14ac:dyDescent="0.25">
      <c r="B1943" s="3"/>
    </row>
    <row r="1944" spans="2:2" x14ac:dyDescent="0.25">
      <c r="B1944" s="3"/>
    </row>
    <row r="1945" spans="2:2" x14ac:dyDescent="0.25">
      <c r="B1945" s="3"/>
    </row>
    <row r="1946" spans="2:2" x14ac:dyDescent="0.25">
      <c r="B1946" s="3"/>
    </row>
    <row r="1947" spans="2:2" x14ac:dyDescent="0.25">
      <c r="B1947" s="3"/>
    </row>
    <row r="1948" spans="2:2" x14ac:dyDescent="0.25">
      <c r="B1948" s="3"/>
    </row>
    <row r="1949" spans="2:2" x14ac:dyDescent="0.25">
      <c r="B1949" s="3"/>
    </row>
    <row r="1950" spans="2:2" x14ac:dyDescent="0.25">
      <c r="B1950" s="3"/>
    </row>
    <row r="1951" spans="2:2" x14ac:dyDescent="0.25">
      <c r="B1951" s="3"/>
    </row>
    <row r="1952" spans="2:2" x14ac:dyDescent="0.25">
      <c r="B1952" s="3"/>
    </row>
    <row r="1953" spans="2:2" x14ac:dyDescent="0.25">
      <c r="B1953" s="3"/>
    </row>
    <row r="1954" spans="2:2" x14ac:dyDescent="0.25">
      <c r="B1954" s="3"/>
    </row>
    <row r="1955" spans="2:2" x14ac:dyDescent="0.25">
      <c r="B1955" s="3"/>
    </row>
    <row r="1956" spans="2:2" x14ac:dyDescent="0.25">
      <c r="B1956" s="3"/>
    </row>
    <row r="1957" spans="2:2" x14ac:dyDescent="0.25">
      <c r="B1957" s="3"/>
    </row>
    <row r="1958" spans="2:2" x14ac:dyDescent="0.25">
      <c r="B1958" s="3"/>
    </row>
    <row r="1959" spans="2:2" x14ac:dyDescent="0.25">
      <c r="B1959" s="3"/>
    </row>
    <row r="1960" spans="2:2" x14ac:dyDescent="0.25">
      <c r="B1960" s="3"/>
    </row>
    <row r="1961" spans="2:2" x14ac:dyDescent="0.25">
      <c r="B1961" s="3"/>
    </row>
    <row r="1962" spans="2:2" x14ac:dyDescent="0.25">
      <c r="B1962" s="3"/>
    </row>
    <row r="1963" spans="2:2" x14ac:dyDescent="0.25">
      <c r="B1963" s="3"/>
    </row>
    <row r="1964" spans="2:2" x14ac:dyDescent="0.25">
      <c r="B1964" s="3"/>
    </row>
    <row r="1965" spans="2:2" x14ac:dyDescent="0.25">
      <c r="B1965" s="3"/>
    </row>
    <row r="1966" spans="2:2" x14ac:dyDescent="0.25">
      <c r="B1966" s="3"/>
    </row>
    <row r="1967" spans="2:2" x14ac:dyDescent="0.25">
      <c r="B1967" s="3"/>
    </row>
    <row r="1968" spans="2:2" x14ac:dyDescent="0.25">
      <c r="B1968" s="3"/>
    </row>
    <row r="1969" spans="2:2" x14ac:dyDescent="0.25">
      <c r="B1969" s="3"/>
    </row>
    <row r="1970" spans="2:2" x14ac:dyDescent="0.25">
      <c r="B1970" s="3"/>
    </row>
    <row r="1971" spans="2:2" x14ac:dyDescent="0.25">
      <c r="B1971" s="3"/>
    </row>
    <row r="1972" spans="2:2" x14ac:dyDescent="0.25">
      <c r="B1972" s="3"/>
    </row>
    <row r="1973" spans="2:2" x14ac:dyDescent="0.25">
      <c r="B1973" s="3"/>
    </row>
    <row r="1974" spans="2:2" x14ac:dyDescent="0.25">
      <c r="B1974" s="3"/>
    </row>
    <row r="1975" spans="2:2" x14ac:dyDescent="0.25">
      <c r="B1975" s="3"/>
    </row>
    <row r="1976" spans="2:2" x14ac:dyDescent="0.25">
      <c r="B1976" s="3"/>
    </row>
    <row r="1977" spans="2:2" x14ac:dyDescent="0.25">
      <c r="B1977" s="3"/>
    </row>
    <row r="1978" spans="2:2" x14ac:dyDescent="0.25">
      <c r="B1978" s="3"/>
    </row>
    <row r="1979" spans="2:2" x14ac:dyDescent="0.25">
      <c r="B1979" s="3"/>
    </row>
    <row r="1980" spans="2:2" x14ac:dyDescent="0.25">
      <c r="B1980" s="3"/>
    </row>
    <row r="1981" spans="2:2" x14ac:dyDescent="0.25">
      <c r="B1981" s="3"/>
    </row>
    <row r="1982" spans="2:2" x14ac:dyDescent="0.25">
      <c r="B1982" s="3"/>
    </row>
    <row r="1983" spans="2:2" x14ac:dyDescent="0.25">
      <c r="B1983" s="3"/>
    </row>
    <row r="1984" spans="2:2" x14ac:dyDescent="0.25">
      <c r="B1984" s="3"/>
    </row>
    <row r="1985" spans="2:2" x14ac:dyDescent="0.25">
      <c r="B1985" s="3"/>
    </row>
    <row r="1986" spans="2:2" x14ac:dyDescent="0.25">
      <c r="B1986" s="3"/>
    </row>
    <row r="1987" spans="2:2" x14ac:dyDescent="0.25">
      <c r="B1987" s="3"/>
    </row>
    <row r="1988" spans="2:2" x14ac:dyDescent="0.25">
      <c r="B1988" s="3"/>
    </row>
    <row r="1989" spans="2:2" x14ac:dyDescent="0.25">
      <c r="B1989" s="3"/>
    </row>
    <row r="1990" spans="2:2" x14ac:dyDescent="0.25">
      <c r="B1990" s="3"/>
    </row>
    <row r="1991" spans="2:2" x14ac:dyDescent="0.25">
      <c r="B1991" s="3"/>
    </row>
    <row r="1992" spans="2:2" x14ac:dyDescent="0.25">
      <c r="B1992" s="3"/>
    </row>
    <row r="1993" spans="2:2" x14ac:dyDescent="0.25">
      <c r="B1993" s="3"/>
    </row>
    <row r="1994" spans="2:2" x14ac:dyDescent="0.25">
      <c r="B1994" s="3"/>
    </row>
    <row r="1995" spans="2:2" x14ac:dyDescent="0.25">
      <c r="B1995" s="3"/>
    </row>
    <row r="1996" spans="2:2" x14ac:dyDescent="0.25">
      <c r="B1996" s="3"/>
    </row>
    <row r="1997" spans="2:2" x14ac:dyDescent="0.25">
      <c r="B1997" s="3"/>
    </row>
    <row r="1998" spans="2:2" x14ac:dyDescent="0.25">
      <c r="B1998" s="3"/>
    </row>
    <row r="1999" spans="2:2" x14ac:dyDescent="0.25">
      <c r="B1999" s="3"/>
    </row>
    <row r="2000" spans="2:2" x14ac:dyDescent="0.25">
      <c r="B2000" s="3"/>
    </row>
    <row r="2001" spans="2:2" x14ac:dyDescent="0.25">
      <c r="B2001" s="3"/>
    </row>
    <row r="2002" spans="2:2" x14ac:dyDescent="0.25">
      <c r="B2002" s="3"/>
    </row>
    <row r="2003" spans="2:2" x14ac:dyDescent="0.25">
      <c r="B2003" s="3"/>
    </row>
    <row r="2004" spans="2:2" x14ac:dyDescent="0.25">
      <c r="B2004" s="3"/>
    </row>
    <row r="2005" spans="2:2" x14ac:dyDescent="0.25">
      <c r="B2005" s="3"/>
    </row>
    <row r="2006" spans="2:2" x14ac:dyDescent="0.25">
      <c r="B2006" s="3"/>
    </row>
    <row r="2007" spans="2:2" x14ac:dyDescent="0.25">
      <c r="B2007" s="3"/>
    </row>
    <row r="2008" spans="2:2" x14ac:dyDescent="0.25">
      <c r="B2008" s="3"/>
    </row>
    <row r="2009" spans="2:2" x14ac:dyDescent="0.25">
      <c r="B2009" s="3"/>
    </row>
    <row r="2010" spans="2:2" x14ac:dyDescent="0.25">
      <c r="B2010" s="3"/>
    </row>
    <row r="2011" spans="2:2" x14ac:dyDescent="0.25">
      <c r="B2011" s="3"/>
    </row>
    <row r="2012" spans="2:2" x14ac:dyDescent="0.25">
      <c r="B2012" s="3"/>
    </row>
    <row r="2013" spans="2:2" x14ac:dyDescent="0.25">
      <c r="B2013" s="3"/>
    </row>
    <row r="2014" spans="2:2" x14ac:dyDescent="0.25">
      <c r="B2014" s="3"/>
    </row>
    <row r="2015" spans="2:2" x14ac:dyDescent="0.25">
      <c r="B2015" s="3"/>
    </row>
    <row r="2016" spans="2:2" x14ac:dyDescent="0.25">
      <c r="B2016" s="3"/>
    </row>
    <row r="2017" spans="2:2" x14ac:dyDescent="0.25">
      <c r="B2017" s="3"/>
    </row>
    <row r="2018" spans="2:2" x14ac:dyDescent="0.25">
      <c r="B2018" s="3"/>
    </row>
    <row r="2019" spans="2:2" x14ac:dyDescent="0.25">
      <c r="B2019" s="3"/>
    </row>
    <row r="2020" spans="2:2" x14ac:dyDescent="0.25">
      <c r="B2020" s="3"/>
    </row>
    <row r="2021" spans="2:2" x14ac:dyDescent="0.25">
      <c r="B2021" s="3"/>
    </row>
    <row r="2022" spans="2:2" x14ac:dyDescent="0.25">
      <c r="B2022" s="3"/>
    </row>
    <row r="2023" spans="2:2" x14ac:dyDescent="0.25">
      <c r="B2023" s="3"/>
    </row>
    <row r="2024" spans="2:2" x14ac:dyDescent="0.25">
      <c r="B2024" s="3"/>
    </row>
    <row r="2025" spans="2:2" x14ac:dyDescent="0.25">
      <c r="B2025" s="3"/>
    </row>
    <row r="2026" spans="2:2" x14ac:dyDescent="0.25">
      <c r="B2026" s="3"/>
    </row>
    <row r="2027" spans="2:2" x14ac:dyDescent="0.25">
      <c r="B2027" s="3"/>
    </row>
    <row r="2028" spans="2:2" x14ac:dyDescent="0.25">
      <c r="B2028" s="3"/>
    </row>
    <row r="2029" spans="2:2" x14ac:dyDescent="0.25">
      <c r="B2029" s="3"/>
    </row>
    <row r="2030" spans="2:2" x14ac:dyDescent="0.25">
      <c r="B2030" s="3"/>
    </row>
    <row r="2031" spans="2:2" x14ac:dyDescent="0.25">
      <c r="B2031" s="3"/>
    </row>
    <row r="2032" spans="2:2" x14ac:dyDescent="0.25">
      <c r="B2032" s="3"/>
    </row>
    <row r="2033" spans="2:2" x14ac:dyDescent="0.25">
      <c r="B2033" s="3"/>
    </row>
    <row r="2034" spans="2:2" x14ac:dyDescent="0.25">
      <c r="B2034" s="3"/>
    </row>
    <row r="2035" spans="2:2" x14ac:dyDescent="0.25">
      <c r="B2035" s="3"/>
    </row>
    <row r="2036" spans="2:2" x14ac:dyDescent="0.25">
      <c r="B2036" s="3"/>
    </row>
    <row r="2037" spans="2:2" x14ac:dyDescent="0.25">
      <c r="B2037" s="3"/>
    </row>
    <row r="2038" spans="2:2" x14ac:dyDescent="0.25">
      <c r="B2038" s="3"/>
    </row>
    <row r="2039" spans="2:2" x14ac:dyDescent="0.25">
      <c r="B2039" s="3"/>
    </row>
    <row r="2040" spans="2:2" x14ac:dyDescent="0.25">
      <c r="B2040" s="3"/>
    </row>
    <row r="2041" spans="2:2" x14ac:dyDescent="0.25">
      <c r="B2041" s="3"/>
    </row>
    <row r="2042" spans="2:2" x14ac:dyDescent="0.25">
      <c r="B2042" s="3"/>
    </row>
    <row r="2043" spans="2:2" x14ac:dyDescent="0.25">
      <c r="B2043" s="3"/>
    </row>
    <row r="2044" spans="2:2" x14ac:dyDescent="0.25">
      <c r="B2044" s="3"/>
    </row>
    <row r="2045" spans="2:2" x14ac:dyDescent="0.25">
      <c r="B2045" s="3"/>
    </row>
    <row r="2046" spans="2:2" x14ac:dyDescent="0.25">
      <c r="B2046" s="3"/>
    </row>
    <row r="2047" spans="2:2" x14ac:dyDescent="0.25">
      <c r="B2047" s="3"/>
    </row>
    <row r="2048" spans="2:2" x14ac:dyDescent="0.25">
      <c r="B2048" s="3"/>
    </row>
    <row r="2049" spans="2:2" x14ac:dyDescent="0.25">
      <c r="B2049" s="3"/>
    </row>
    <row r="2050" spans="2:2" x14ac:dyDescent="0.25">
      <c r="B2050" s="3"/>
    </row>
    <row r="2051" spans="2:2" x14ac:dyDescent="0.25">
      <c r="B2051" s="3"/>
    </row>
    <row r="2052" spans="2:2" x14ac:dyDescent="0.25">
      <c r="B2052" s="3"/>
    </row>
    <row r="2053" spans="2:2" x14ac:dyDescent="0.25">
      <c r="B2053" s="3"/>
    </row>
    <row r="2054" spans="2:2" x14ac:dyDescent="0.25">
      <c r="B2054" s="3"/>
    </row>
    <row r="2055" spans="2:2" x14ac:dyDescent="0.25">
      <c r="B2055" s="3"/>
    </row>
    <row r="2056" spans="2:2" x14ac:dyDescent="0.25">
      <c r="B2056" s="3"/>
    </row>
    <row r="2057" spans="2:2" x14ac:dyDescent="0.25">
      <c r="B2057" s="3"/>
    </row>
    <row r="2058" spans="2:2" x14ac:dyDescent="0.25">
      <c r="B2058" s="3"/>
    </row>
    <row r="2059" spans="2:2" x14ac:dyDescent="0.25">
      <c r="B2059" s="3"/>
    </row>
    <row r="2060" spans="2:2" x14ac:dyDescent="0.25">
      <c r="B2060" s="3"/>
    </row>
    <row r="2061" spans="2:2" x14ac:dyDescent="0.25">
      <c r="B2061" s="3"/>
    </row>
    <row r="2062" spans="2:2" x14ac:dyDescent="0.25">
      <c r="B2062" s="3"/>
    </row>
    <row r="2063" spans="2:2" x14ac:dyDescent="0.25">
      <c r="B2063" s="3"/>
    </row>
    <row r="2064" spans="2:2" x14ac:dyDescent="0.25">
      <c r="B2064" s="3"/>
    </row>
    <row r="2065" spans="2:2" x14ac:dyDescent="0.25">
      <c r="B2065" s="3"/>
    </row>
    <row r="2066" spans="2:2" x14ac:dyDescent="0.25">
      <c r="B2066" s="3"/>
    </row>
    <row r="2067" spans="2:2" x14ac:dyDescent="0.25">
      <c r="B2067" s="3"/>
    </row>
    <row r="2068" spans="2:2" x14ac:dyDescent="0.25">
      <c r="B2068" s="3"/>
    </row>
    <row r="2069" spans="2:2" x14ac:dyDescent="0.25">
      <c r="B2069" s="3"/>
    </row>
    <row r="2070" spans="2:2" x14ac:dyDescent="0.25">
      <c r="B2070" s="3"/>
    </row>
    <row r="2071" spans="2:2" x14ac:dyDescent="0.25">
      <c r="B2071" s="3"/>
    </row>
    <row r="2072" spans="2:2" x14ac:dyDescent="0.25">
      <c r="B2072" s="3"/>
    </row>
    <row r="2073" spans="2:2" x14ac:dyDescent="0.25">
      <c r="B2073" s="3"/>
    </row>
    <row r="2074" spans="2:2" x14ac:dyDescent="0.25">
      <c r="B2074" s="3"/>
    </row>
    <row r="2075" spans="2:2" x14ac:dyDescent="0.25">
      <c r="B2075" s="3"/>
    </row>
    <row r="2076" spans="2:2" x14ac:dyDescent="0.25">
      <c r="B2076" s="3"/>
    </row>
    <row r="2077" spans="2:2" x14ac:dyDescent="0.25">
      <c r="B2077" s="3"/>
    </row>
    <row r="2078" spans="2:2" x14ac:dyDescent="0.25">
      <c r="B2078" s="3"/>
    </row>
    <row r="2079" spans="2:2" x14ac:dyDescent="0.25">
      <c r="B2079" s="3"/>
    </row>
    <row r="2080" spans="2:2" x14ac:dyDescent="0.25">
      <c r="B2080" s="3"/>
    </row>
    <row r="2081" spans="2:2" x14ac:dyDescent="0.25">
      <c r="B2081" s="3"/>
    </row>
    <row r="2082" spans="2:2" x14ac:dyDescent="0.25">
      <c r="B2082" s="3"/>
    </row>
    <row r="2083" spans="2:2" x14ac:dyDescent="0.25">
      <c r="B2083" s="3"/>
    </row>
    <row r="2084" spans="2:2" x14ac:dyDescent="0.25">
      <c r="B2084" s="3"/>
    </row>
    <row r="2085" spans="2:2" x14ac:dyDescent="0.25">
      <c r="B2085" s="3"/>
    </row>
    <row r="2086" spans="2:2" x14ac:dyDescent="0.25">
      <c r="B2086" s="3"/>
    </row>
    <row r="2087" spans="2:2" x14ac:dyDescent="0.25">
      <c r="B2087" s="3"/>
    </row>
    <row r="2088" spans="2:2" x14ac:dyDescent="0.25">
      <c r="B2088" s="3"/>
    </row>
    <row r="2089" spans="2:2" x14ac:dyDescent="0.25">
      <c r="B2089" s="3"/>
    </row>
    <row r="2090" spans="2:2" x14ac:dyDescent="0.25">
      <c r="B2090" s="3"/>
    </row>
    <row r="2091" spans="2:2" x14ac:dyDescent="0.25">
      <c r="B2091" s="3"/>
    </row>
    <row r="2092" spans="2:2" x14ac:dyDescent="0.25">
      <c r="B2092" s="3"/>
    </row>
    <row r="2093" spans="2:2" x14ac:dyDescent="0.25">
      <c r="B2093" s="3"/>
    </row>
    <row r="2094" spans="2:2" x14ac:dyDescent="0.25">
      <c r="B2094" s="3"/>
    </row>
    <row r="2095" spans="2:2" x14ac:dyDescent="0.25">
      <c r="B2095" s="3"/>
    </row>
    <row r="2096" spans="2:2" x14ac:dyDescent="0.25">
      <c r="B2096" s="3"/>
    </row>
    <row r="2097" spans="2:2" x14ac:dyDescent="0.25">
      <c r="B2097" s="3"/>
    </row>
    <row r="2098" spans="2:2" x14ac:dyDescent="0.25">
      <c r="B2098" s="3"/>
    </row>
    <row r="2099" spans="2:2" x14ac:dyDescent="0.25">
      <c r="B2099" s="3"/>
    </row>
    <row r="2100" spans="2:2" x14ac:dyDescent="0.25">
      <c r="B2100" s="3"/>
    </row>
    <row r="2101" spans="2:2" x14ac:dyDescent="0.25">
      <c r="B2101" s="3"/>
    </row>
    <row r="2102" spans="2:2" x14ac:dyDescent="0.25">
      <c r="B2102" s="3"/>
    </row>
    <row r="2103" spans="2:2" x14ac:dyDescent="0.25">
      <c r="B2103" s="3"/>
    </row>
    <row r="2104" spans="2:2" x14ac:dyDescent="0.25">
      <c r="B2104" s="3"/>
    </row>
    <row r="2105" spans="2:2" x14ac:dyDescent="0.25">
      <c r="B2105" s="3"/>
    </row>
    <row r="2106" spans="2:2" x14ac:dyDescent="0.25">
      <c r="B2106" s="3"/>
    </row>
    <row r="2107" spans="2:2" x14ac:dyDescent="0.25">
      <c r="B2107" s="3"/>
    </row>
    <row r="2108" spans="2:2" x14ac:dyDescent="0.25">
      <c r="B2108" s="3"/>
    </row>
    <row r="2109" spans="2:2" x14ac:dyDescent="0.25">
      <c r="B2109" s="3"/>
    </row>
    <row r="2110" spans="2:2" x14ac:dyDescent="0.25">
      <c r="B2110" s="3"/>
    </row>
    <row r="2111" spans="2:2" x14ac:dyDescent="0.25">
      <c r="B2111" s="3"/>
    </row>
    <row r="2112" spans="2:2" x14ac:dyDescent="0.25">
      <c r="B2112" s="3"/>
    </row>
    <row r="2113" spans="2:2" x14ac:dyDescent="0.25">
      <c r="B2113" s="3"/>
    </row>
    <row r="2114" spans="2:2" x14ac:dyDescent="0.25">
      <c r="B2114" s="3"/>
    </row>
    <row r="2115" spans="2:2" x14ac:dyDescent="0.25">
      <c r="B2115" s="3"/>
    </row>
    <row r="2116" spans="2:2" x14ac:dyDescent="0.25">
      <c r="B2116" s="3"/>
    </row>
    <row r="2117" spans="2:2" x14ac:dyDescent="0.25">
      <c r="B2117" s="3"/>
    </row>
    <row r="2118" spans="2:2" x14ac:dyDescent="0.25">
      <c r="B2118" s="3"/>
    </row>
    <row r="2119" spans="2:2" x14ac:dyDescent="0.25">
      <c r="B2119" s="3"/>
    </row>
    <row r="2120" spans="2:2" x14ac:dyDescent="0.25">
      <c r="B2120" s="3"/>
    </row>
    <row r="2121" spans="2:2" x14ac:dyDescent="0.25">
      <c r="B2121" s="3"/>
    </row>
    <row r="2122" spans="2:2" x14ac:dyDescent="0.25">
      <c r="B2122" s="3"/>
    </row>
    <row r="2123" spans="2:2" x14ac:dyDescent="0.25">
      <c r="B2123" s="3"/>
    </row>
    <row r="2124" spans="2:2" x14ac:dyDescent="0.25">
      <c r="B2124" s="3"/>
    </row>
    <row r="2125" spans="2:2" x14ac:dyDescent="0.25">
      <c r="B2125" s="3"/>
    </row>
    <row r="2126" spans="2:2" x14ac:dyDescent="0.25">
      <c r="B2126" s="3"/>
    </row>
    <row r="2127" spans="2:2" x14ac:dyDescent="0.25">
      <c r="B2127" s="3"/>
    </row>
    <row r="2128" spans="2:2" x14ac:dyDescent="0.25">
      <c r="B2128" s="3"/>
    </row>
    <row r="2129" spans="2:2" x14ac:dyDescent="0.25">
      <c r="B2129" s="3"/>
    </row>
    <row r="2130" spans="2:2" x14ac:dyDescent="0.25">
      <c r="B2130" s="3"/>
    </row>
    <row r="2131" spans="2:2" x14ac:dyDescent="0.25">
      <c r="B2131" s="3"/>
    </row>
    <row r="2132" spans="2:2" x14ac:dyDescent="0.25">
      <c r="B2132" s="3"/>
    </row>
    <row r="2133" spans="2:2" x14ac:dyDescent="0.25">
      <c r="B2133" s="3"/>
    </row>
    <row r="2134" spans="2:2" x14ac:dyDescent="0.25">
      <c r="B2134" s="3"/>
    </row>
    <row r="2135" spans="2:2" x14ac:dyDescent="0.25">
      <c r="B2135" s="3"/>
    </row>
    <row r="2136" spans="2:2" x14ac:dyDescent="0.25">
      <c r="B2136" s="3"/>
    </row>
    <row r="2137" spans="2:2" x14ac:dyDescent="0.25">
      <c r="B2137" s="3"/>
    </row>
    <row r="2138" spans="2:2" x14ac:dyDescent="0.25">
      <c r="B2138" s="3"/>
    </row>
    <row r="2139" spans="2:2" x14ac:dyDescent="0.25">
      <c r="B2139" s="3"/>
    </row>
    <row r="2140" spans="2:2" x14ac:dyDescent="0.25">
      <c r="B2140" s="3"/>
    </row>
    <row r="2141" spans="2:2" x14ac:dyDescent="0.25">
      <c r="B2141" s="3"/>
    </row>
    <row r="2142" spans="2:2" x14ac:dyDescent="0.25">
      <c r="B2142" s="3"/>
    </row>
    <row r="2143" spans="2:2" x14ac:dyDescent="0.25">
      <c r="B2143" s="3"/>
    </row>
    <row r="2144" spans="2:2" x14ac:dyDescent="0.25">
      <c r="B2144" s="3"/>
    </row>
    <row r="2145" spans="2:2" x14ac:dyDescent="0.25">
      <c r="B2145" s="3"/>
    </row>
    <row r="2146" spans="2:2" x14ac:dyDescent="0.25">
      <c r="B2146" s="3"/>
    </row>
    <row r="2147" spans="2:2" x14ac:dyDescent="0.25">
      <c r="B2147" s="3"/>
    </row>
    <row r="2148" spans="2:2" x14ac:dyDescent="0.25">
      <c r="B2148" s="3"/>
    </row>
    <row r="2149" spans="2:2" x14ac:dyDescent="0.25">
      <c r="B2149" s="3"/>
    </row>
    <row r="2150" spans="2:2" x14ac:dyDescent="0.25">
      <c r="B2150" s="3"/>
    </row>
    <row r="2151" spans="2:2" x14ac:dyDescent="0.25">
      <c r="B2151" s="3"/>
    </row>
    <row r="2152" spans="2:2" x14ac:dyDescent="0.25">
      <c r="B2152" s="3"/>
    </row>
    <row r="2153" spans="2:2" x14ac:dyDescent="0.25">
      <c r="B2153" s="3"/>
    </row>
    <row r="2154" spans="2:2" x14ac:dyDescent="0.25">
      <c r="B2154" s="3"/>
    </row>
    <row r="2155" spans="2:2" x14ac:dyDescent="0.25">
      <c r="B2155" s="3"/>
    </row>
    <row r="2156" spans="2:2" x14ac:dyDescent="0.25">
      <c r="B2156" s="3"/>
    </row>
    <row r="2157" spans="2:2" x14ac:dyDescent="0.25">
      <c r="B2157" s="3"/>
    </row>
    <row r="2158" spans="2:2" x14ac:dyDescent="0.25">
      <c r="B2158" s="3"/>
    </row>
    <row r="2159" spans="2:2" x14ac:dyDescent="0.25">
      <c r="B2159" s="3"/>
    </row>
    <row r="2160" spans="2:2" x14ac:dyDescent="0.25">
      <c r="B2160" s="3"/>
    </row>
    <row r="2161" spans="2:2" x14ac:dyDescent="0.25">
      <c r="B2161" s="3"/>
    </row>
    <row r="2162" spans="2:2" x14ac:dyDescent="0.25">
      <c r="B2162" s="3"/>
    </row>
    <row r="2163" spans="2:2" x14ac:dyDescent="0.25">
      <c r="B2163" s="3"/>
    </row>
    <row r="2164" spans="2:2" x14ac:dyDescent="0.25">
      <c r="B2164" s="3"/>
    </row>
    <row r="2165" spans="2:2" x14ac:dyDescent="0.25">
      <c r="B2165" s="3"/>
    </row>
    <row r="2166" spans="2:2" x14ac:dyDescent="0.25">
      <c r="B2166" s="3"/>
    </row>
    <row r="2167" spans="2:2" x14ac:dyDescent="0.25">
      <c r="B2167" s="3"/>
    </row>
    <row r="2168" spans="2:2" x14ac:dyDescent="0.25">
      <c r="B2168" s="3"/>
    </row>
    <row r="2169" spans="2:2" x14ac:dyDescent="0.25">
      <c r="B2169" s="3"/>
    </row>
    <row r="2170" spans="2:2" x14ac:dyDescent="0.25">
      <c r="B2170" s="3"/>
    </row>
    <row r="2171" spans="2:2" x14ac:dyDescent="0.25">
      <c r="B2171" s="3"/>
    </row>
    <row r="2172" spans="2:2" x14ac:dyDescent="0.25">
      <c r="B2172" s="3"/>
    </row>
    <row r="2173" spans="2:2" x14ac:dyDescent="0.25">
      <c r="B2173" s="3"/>
    </row>
    <row r="2174" spans="2:2" x14ac:dyDescent="0.25">
      <c r="B2174" s="3"/>
    </row>
    <row r="2175" spans="2:2" x14ac:dyDescent="0.25">
      <c r="B2175" s="3"/>
    </row>
    <row r="2176" spans="2:2" x14ac:dyDescent="0.25">
      <c r="B2176" s="3"/>
    </row>
    <row r="2177" spans="2:2" x14ac:dyDescent="0.25">
      <c r="B2177" s="3"/>
    </row>
    <row r="2178" spans="2:2" x14ac:dyDescent="0.25">
      <c r="B2178" s="3"/>
    </row>
    <row r="2179" spans="2:2" x14ac:dyDescent="0.25">
      <c r="B2179" s="3"/>
    </row>
    <row r="2180" spans="2:2" x14ac:dyDescent="0.25">
      <c r="B2180" s="3"/>
    </row>
    <row r="2181" spans="2:2" x14ac:dyDescent="0.25">
      <c r="B2181" s="3"/>
    </row>
    <row r="2182" spans="2:2" x14ac:dyDescent="0.25">
      <c r="B2182" s="3"/>
    </row>
    <row r="2183" spans="2:2" x14ac:dyDescent="0.25">
      <c r="B2183" s="3"/>
    </row>
    <row r="2184" spans="2:2" x14ac:dyDescent="0.25">
      <c r="B2184" s="3"/>
    </row>
    <row r="2185" spans="2:2" x14ac:dyDescent="0.25">
      <c r="B2185" s="3"/>
    </row>
    <row r="2186" spans="2:2" x14ac:dyDescent="0.25">
      <c r="B2186" s="3"/>
    </row>
    <row r="2187" spans="2:2" x14ac:dyDescent="0.25">
      <c r="B2187" s="3"/>
    </row>
    <row r="2188" spans="2:2" x14ac:dyDescent="0.25">
      <c r="B2188" s="3"/>
    </row>
    <row r="2189" spans="2:2" x14ac:dyDescent="0.25">
      <c r="B2189" s="3"/>
    </row>
    <row r="2190" spans="2:2" x14ac:dyDescent="0.25">
      <c r="B2190" s="3"/>
    </row>
    <row r="2191" spans="2:2" x14ac:dyDescent="0.25">
      <c r="B2191" s="3"/>
    </row>
    <row r="2192" spans="2:2" x14ac:dyDescent="0.25">
      <c r="B2192" s="3"/>
    </row>
    <row r="2193" spans="2:2" x14ac:dyDescent="0.25">
      <c r="B2193" s="3"/>
    </row>
    <row r="2194" spans="2:2" x14ac:dyDescent="0.25">
      <c r="B2194" s="3"/>
    </row>
    <row r="2195" spans="2:2" x14ac:dyDescent="0.25">
      <c r="B2195" s="3"/>
    </row>
    <row r="2196" spans="2:2" x14ac:dyDescent="0.25">
      <c r="B2196" s="3"/>
    </row>
    <row r="2197" spans="2:2" x14ac:dyDescent="0.25">
      <c r="B2197" s="3"/>
    </row>
    <row r="2198" spans="2:2" x14ac:dyDescent="0.25">
      <c r="B2198" s="3"/>
    </row>
    <row r="2199" spans="2:2" x14ac:dyDescent="0.25">
      <c r="B2199" s="3"/>
    </row>
    <row r="2200" spans="2:2" x14ac:dyDescent="0.25">
      <c r="B2200" s="3"/>
    </row>
    <row r="2201" spans="2:2" x14ac:dyDescent="0.25">
      <c r="B2201" s="3"/>
    </row>
    <row r="2202" spans="2:2" x14ac:dyDescent="0.25">
      <c r="B2202" s="3"/>
    </row>
    <row r="2203" spans="2:2" x14ac:dyDescent="0.25">
      <c r="B2203" s="3"/>
    </row>
    <row r="2204" spans="2:2" x14ac:dyDescent="0.25">
      <c r="B2204" s="3"/>
    </row>
    <row r="2205" spans="2:2" x14ac:dyDescent="0.25">
      <c r="B2205" s="3"/>
    </row>
    <row r="2206" spans="2:2" x14ac:dyDescent="0.25">
      <c r="B2206" s="3"/>
    </row>
    <row r="2207" spans="2:2" x14ac:dyDescent="0.25">
      <c r="B2207" s="3"/>
    </row>
    <row r="2208" spans="2:2" x14ac:dyDescent="0.25">
      <c r="B2208" s="3"/>
    </row>
    <row r="2209" spans="2:2" x14ac:dyDescent="0.25">
      <c r="B2209" s="3"/>
    </row>
    <row r="2210" spans="2:2" x14ac:dyDescent="0.25">
      <c r="B2210" s="3"/>
    </row>
    <row r="2211" spans="2:2" x14ac:dyDescent="0.25">
      <c r="B2211" s="3"/>
    </row>
    <row r="2212" spans="2:2" x14ac:dyDescent="0.25">
      <c r="B2212" s="3"/>
    </row>
    <row r="2213" spans="2:2" x14ac:dyDescent="0.25">
      <c r="B2213" s="3"/>
    </row>
    <row r="2214" spans="2:2" x14ac:dyDescent="0.25">
      <c r="B2214" s="3"/>
    </row>
    <row r="2215" spans="2:2" x14ac:dyDescent="0.25">
      <c r="B2215" s="3"/>
    </row>
    <row r="2216" spans="2:2" x14ac:dyDescent="0.25">
      <c r="B2216" s="3"/>
    </row>
    <row r="2217" spans="2:2" x14ac:dyDescent="0.25">
      <c r="B2217" s="3"/>
    </row>
    <row r="2218" spans="2:2" x14ac:dyDescent="0.25">
      <c r="B2218" s="3"/>
    </row>
    <row r="2219" spans="2:2" x14ac:dyDescent="0.25">
      <c r="B2219" s="3"/>
    </row>
    <row r="2220" spans="2:2" x14ac:dyDescent="0.25">
      <c r="B2220" s="3"/>
    </row>
    <row r="2221" spans="2:2" x14ac:dyDescent="0.25">
      <c r="B2221" s="3"/>
    </row>
    <row r="2222" spans="2:2" x14ac:dyDescent="0.25">
      <c r="B2222" s="3"/>
    </row>
    <row r="2223" spans="2:2" x14ac:dyDescent="0.25">
      <c r="B2223" s="3"/>
    </row>
    <row r="2224" spans="2:2" x14ac:dyDescent="0.25">
      <c r="B2224" s="3"/>
    </row>
    <row r="2225" spans="2:2" x14ac:dyDescent="0.25">
      <c r="B2225" s="3"/>
    </row>
    <row r="2226" spans="2:2" x14ac:dyDescent="0.25">
      <c r="B2226" s="3"/>
    </row>
    <row r="2227" spans="2:2" x14ac:dyDescent="0.25">
      <c r="B2227" s="3"/>
    </row>
    <row r="2228" spans="2:2" x14ac:dyDescent="0.25">
      <c r="B2228" s="3"/>
    </row>
    <row r="2229" spans="2:2" x14ac:dyDescent="0.25">
      <c r="B2229" s="3"/>
    </row>
    <row r="2230" spans="2:2" x14ac:dyDescent="0.25">
      <c r="B2230" s="3"/>
    </row>
    <row r="2231" spans="2:2" x14ac:dyDescent="0.25">
      <c r="B2231" s="3"/>
    </row>
    <row r="2232" spans="2:2" x14ac:dyDescent="0.25">
      <c r="B2232" s="3"/>
    </row>
    <row r="2233" spans="2:2" x14ac:dyDescent="0.25">
      <c r="B2233" s="3"/>
    </row>
    <row r="2234" spans="2:2" x14ac:dyDescent="0.25">
      <c r="B2234" s="3"/>
    </row>
    <row r="2235" spans="2:2" x14ac:dyDescent="0.25">
      <c r="B2235" s="3"/>
    </row>
    <row r="2236" spans="2:2" x14ac:dyDescent="0.25">
      <c r="B2236" s="3"/>
    </row>
    <row r="2237" spans="2:2" x14ac:dyDescent="0.25">
      <c r="B2237" s="3"/>
    </row>
    <row r="2238" spans="2:2" x14ac:dyDescent="0.25">
      <c r="B2238" s="3"/>
    </row>
    <row r="2239" spans="2:2" x14ac:dyDescent="0.25">
      <c r="B2239" s="3"/>
    </row>
    <row r="2240" spans="2:2" x14ac:dyDescent="0.25">
      <c r="B2240" s="3"/>
    </row>
    <row r="2241" spans="2:2" x14ac:dyDescent="0.25">
      <c r="B2241" s="3"/>
    </row>
    <row r="2242" spans="2:2" x14ac:dyDescent="0.25">
      <c r="B2242" s="3"/>
    </row>
    <row r="2243" spans="2:2" x14ac:dyDescent="0.25">
      <c r="B2243" s="3"/>
    </row>
    <row r="2244" spans="2:2" x14ac:dyDescent="0.25">
      <c r="B2244" s="3"/>
    </row>
    <row r="2245" spans="2:2" x14ac:dyDescent="0.25">
      <c r="B2245" s="3"/>
    </row>
    <row r="2246" spans="2:2" x14ac:dyDescent="0.25">
      <c r="B2246" s="3"/>
    </row>
    <row r="2247" spans="2:2" x14ac:dyDescent="0.25">
      <c r="B2247" s="3"/>
    </row>
    <row r="2248" spans="2:2" x14ac:dyDescent="0.25">
      <c r="B2248" s="3"/>
    </row>
    <row r="2249" spans="2:2" x14ac:dyDescent="0.25">
      <c r="B2249" s="3"/>
    </row>
    <row r="2250" spans="2:2" x14ac:dyDescent="0.25">
      <c r="B2250" s="3"/>
    </row>
    <row r="2251" spans="2:2" x14ac:dyDescent="0.25">
      <c r="B2251" s="3"/>
    </row>
    <row r="2252" spans="2:2" x14ac:dyDescent="0.25">
      <c r="B2252" s="3"/>
    </row>
    <row r="2253" spans="2:2" x14ac:dyDescent="0.25">
      <c r="B2253" s="3"/>
    </row>
    <row r="2254" spans="2:2" x14ac:dyDescent="0.25">
      <c r="B2254" s="3"/>
    </row>
    <row r="2255" spans="2:2" x14ac:dyDescent="0.25">
      <c r="B2255" s="3"/>
    </row>
    <row r="2256" spans="2:2" x14ac:dyDescent="0.25">
      <c r="B2256" s="3"/>
    </row>
    <row r="2257" spans="2:2" x14ac:dyDescent="0.25">
      <c r="B2257" s="3"/>
    </row>
    <row r="2258" spans="2:2" x14ac:dyDescent="0.25">
      <c r="B2258" s="3"/>
    </row>
    <row r="2259" spans="2:2" x14ac:dyDescent="0.25">
      <c r="B2259" s="3"/>
    </row>
    <row r="2260" spans="2:2" x14ac:dyDescent="0.25">
      <c r="B2260" s="3"/>
    </row>
    <row r="2261" spans="2:2" x14ac:dyDescent="0.25">
      <c r="B2261" s="3"/>
    </row>
    <row r="2262" spans="2:2" x14ac:dyDescent="0.25">
      <c r="B2262" s="3"/>
    </row>
    <row r="2263" spans="2:2" x14ac:dyDescent="0.25">
      <c r="B2263" s="3"/>
    </row>
    <row r="2264" spans="2:2" x14ac:dyDescent="0.25">
      <c r="B2264" s="3"/>
    </row>
    <row r="2265" spans="2:2" x14ac:dyDescent="0.25">
      <c r="B2265" s="3"/>
    </row>
    <row r="2266" spans="2:2" x14ac:dyDescent="0.25">
      <c r="B2266" s="3"/>
    </row>
    <row r="2267" spans="2:2" x14ac:dyDescent="0.25">
      <c r="B2267" s="3"/>
    </row>
    <row r="2268" spans="2:2" x14ac:dyDescent="0.25">
      <c r="B2268" s="3"/>
    </row>
    <row r="2269" spans="2:2" x14ac:dyDescent="0.25">
      <c r="B2269" s="3"/>
    </row>
    <row r="2270" spans="2:2" x14ac:dyDescent="0.25">
      <c r="B2270" s="3"/>
    </row>
    <row r="2271" spans="2:2" x14ac:dyDescent="0.25">
      <c r="B2271" s="3"/>
    </row>
    <row r="2272" spans="2:2" x14ac:dyDescent="0.25">
      <c r="B2272" s="3"/>
    </row>
    <row r="2273" spans="2:2" x14ac:dyDescent="0.25">
      <c r="B2273" s="3"/>
    </row>
    <row r="2274" spans="2:2" x14ac:dyDescent="0.25">
      <c r="B2274" s="3"/>
    </row>
    <row r="2275" spans="2:2" x14ac:dyDescent="0.25">
      <c r="B2275" s="3"/>
    </row>
    <row r="2276" spans="2:2" x14ac:dyDescent="0.25">
      <c r="B2276" s="3"/>
    </row>
    <row r="2277" spans="2:2" x14ac:dyDescent="0.25">
      <c r="B2277" s="3"/>
    </row>
    <row r="2278" spans="2:2" x14ac:dyDescent="0.25">
      <c r="B2278" s="3"/>
    </row>
    <row r="2279" spans="2:2" x14ac:dyDescent="0.25">
      <c r="B2279" s="3"/>
    </row>
    <row r="2280" spans="2:2" x14ac:dyDescent="0.25">
      <c r="B2280" s="3"/>
    </row>
    <row r="2281" spans="2:2" x14ac:dyDescent="0.25">
      <c r="B2281" s="3"/>
    </row>
    <row r="2282" spans="2:2" x14ac:dyDescent="0.25">
      <c r="B2282" s="3"/>
    </row>
    <row r="2283" spans="2:2" x14ac:dyDescent="0.25">
      <c r="B2283" s="3"/>
    </row>
    <row r="2284" spans="2:2" x14ac:dyDescent="0.25">
      <c r="B2284" s="3"/>
    </row>
    <row r="2285" spans="2:2" x14ac:dyDescent="0.25">
      <c r="B2285" s="3"/>
    </row>
    <row r="2286" spans="2:2" x14ac:dyDescent="0.25">
      <c r="B2286" s="3"/>
    </row>
    <row r="2287" spans="2:2" x14ac:dyDescent="0.25">
      <c r="B2287" s="3"/>
    </row>
    <row r="2288" spans="2:2" x14ac:dyDescent="0.25">
      <c r="B2288" s="3"/>
    </row>
    <row r="2289" spans="2:2" x14ac:dyDescent="0.25">
      <c r="B2289" s="3"/>
    </row>
    <row r="2290" spans="2:2" x14ac:dyDescent="0.25">
      <c r="B2290" s="3"/>
    </row>
    <row r="2291" spans="2:2" x14ac:dyDescent="0.25">
      <c r="B2291" s="3"/>
    </row>
    <row r="2292" spans="2:2" x14ac:dyDescent="0.25">
      <c r="B2292" s="3"/>
    </row>
    <row r="2293" spans="2:2" x14ac:dyDescent="0.25">
      <c r="B2293" s="3"/>
    </row>
    <row r="2294" spans="2:2" x14ac:dyDescent="0.25">
      <c r="B2294" s="3"/>
    </row>
    <row r="2295" spans="2:2" x14ac:dyDescent="0.25">
      <c r="B2295" s="3"/>
    </row>
    <row r="2296" spans="2:2" x14ac:dyDescent="0.25">
      <c r="B2296" s="3"/>
    </row>
    <row r="2297" spans="2:2" x14ac:dyDescent="0.25">
      <c r="B2297" s="3"/>
    </row>
    <row r="2298" spans="2:2" x14ac:dyDescent="0.25">
      <c r="B2298" s="3"/>
    </row>
    <row r="2299" spans="2:2" x14ac:dyDescent="0.25">
      <c r="B2299" s="3"/>
    </row>
    <row r="2300" spans="2:2" x14ac:dyDescent="0.25">
      <c r="B2300" s="3"/>
    </row>
    <row r="2301" spans="2:2" x14ac:dyDescent="0.25">
      <c r="B2301" s="3"/>
    </row>
    <row r="2302" spans="2:2" x14ac:dyDescent="0.25">
      <c r="B2302" s="3"/>
    </row>
    <row r="2303" spans="2:2" x14ac:dyDescent="0.25">
      <c r="B2303" s="3"/>
    </row>
    <row r="2304" spans="2:2" x14ac:dyDescent="0.25">
      <c r="B2304" s="3"/>
    </row>
    <row r="2305" spans="2:2" x14ac:dyDescent="0.25">
      <c r="B2305" s="3"/>
    </row>
    <row r="2306" spans="2:2" x14ac:dyDescent="0.25">
      <c r="B2306" s="3"/>
    </row>
    <row r="2307" spans="2:2" x14ac:dyDescent="0.25">
      <c r="B2307" s="3"/>
    </row>
    <row r="2308" spans="2:2" x14ac:dyDescent="0.25">
      <c r="B2308" s="3"/>
    </row>
    <row r="2309" spans="2:2" x14ac:dyDescent="0.25">
      <c r="B2309" s="3"/>
    </row>
    <row r="2310" spans="2:2" x14ac:dyDescent="0.25">
      <c r="B2310" s="3"/>
    </row>
    <row r="2311" spans="2:2" x14ac:dyDescent="0.25">
      <c r="B2311" s="3"/>
    </row>
    <row r="2312" spans="2:2" x14ac:dyDescent="0.25">
      <c r="B2312" s="3"/>
    </row>
    <row r="2313" spans="2:2" x14ac:dyDescent="0.25">
      <c r="B2313" s="3"/>
    </row>
    <row r="2314" spans="2:2" x14ac:dyDescent="0.25">
      <c r="B2314" s="3"/>
    </row>
    <row r="2315" spans="2:2" x14ac:dyDescent="0.25">
      <c r="B2315" s="3"/>
    </row>
    <row r="2316" spans="2:2" x14ac:dyDescent="0.25">
      <c r="B2316" s="3"/>
    </row>
    <row r="2317" spans="2:2" x14ac:dyDescent="0.25">
      <c r="B2317" s="3"/>
    </row>
    <row r="2318" spans="2:2" x14ac:dyDescent="0.25">
      <c r="B2318" s="3"/>
    </row>
    <row r="2319" spans="2:2" x14ac:dyDescent="0.25">
      <c r="B2319" s="3"/>
    </row>
    <row r="2320" spans="2:2" x14ac:dyDescent="0.25">
      <c r="B2320" s="3"/>
    </row>
    <row r="2321" spans="2:2" x14ac:dyDescent="0.25">
      <c r="B2321" s="3"/>
    </row>
    <row r="2322" spans="2:2" x14ac:dyDescent="0.25">
      <c r="B2322" s="3"/>
    </row>
    <row r="2323" spans="2:2" x14ac:dyDescent="0.25">
      <c r="B2323" s="3"/>
    </row>
    <row r="2324" spans="2:2" x14ac:dyDescent="0.25">
      <c r="B2324" s="3"/>
    </row>
    <row r="2325" spans="2:2" x14ac:dyDescent="0.25">
      <c r="B2325" s="3"/>
    </row>
    <row r="2326" spans="2:2" x14ac:dyDescent="0.25">
      <c r="B2326" s="3"/>
    </row>
    <row r="2327" spans="2:2" x14ac:dyDescent="0.25">
      <c r="B2327" s="3"/>
    </row>
    <row r="2328" spans="2:2" x14ac:dyDescent="0.25">
      <c r="B2328" s="3"/>
    </row>
    <row r="2329" spans="2:2" x14ac:dyDescent="0.25">
      <c r="B2329" s="3"/>
    </row>
    <row r="2330" spans="2:2" x14ac:dyDescent="0.25">
      <c r="B2330" s="3"/>
    </row>
    <row r="2331" spans="2:2" x14ac:dyDescent="0.25">
      <c r="B2331" s="3"/>
    </row>
    <row r="2332" spans="2:2" x14ac:dyDescent="0.25">
      <c r="B2332" s="3"/>
    </row>
    <row r="2333" spans="2:2" x14ac:dyDescent="0.25">
      <c r="B2333" s="3"/>
    </row>
    <row r="2334" spans="2:2" x14ac:dyDescent="0.25">
      <c r="B2334" s="3"/>
    </row>
    <row r="2335" spans="2:2" x14ac:dyDescent="0.25">
      <c r="B2335" s="3"/>
    </row>
    <row r="2336" spans="2:2" x14ac:dyDescent="0.25">
      <c r="B2336" s="3"/>
    </row>
    <row r="2337" spans="2:2" x14ac:dyDescent="0.25">
      <c r="B2337" s="3"/>
    </row>
    <row r="2338" spans="2:2" x14ac:dyDescent="0.25">
      <c r="B2338" s="3"/>
    </row>
    <row r="2339" spans="2:2" x14ac:dyDescent="0.25">
      <c r="B2339" s="3"/>
    </row>
    <row r="2340" spans="2:2" x14ac:dyDescent="0.25">
      <c r="B2340" s="3"/>
    </row>
    <row r="2341" spans="2:2" x14ac:dyDescent="0.25">
      <c r="B2341" s="3"/>
    </row>
    <row r="2342" spans="2:2" x14ac:dyDescent="0.25">
      <c r="B2342" s="3"/>
    </row>
    <row r="2343" spans="2:2" x14ac:dyDescent="0.25">
      <c r="B2343" s="3"/>
    </row>
    <row r="2344" spans="2:2" x14ac:dyDescent="0.25">
      <c r="B2344" s="3"/>
    </row>
    <row r="2345" spans="2:2" x14ac:dyDescent="0.25">
      <c r="B2345" s="3"/>
    </row>
    <row r="2346" spans="2:2" x14ac:dyDescent="0.25">
      <c r="B2346" s="3"/>
    </row>
    <row r="2347" spans="2:2" x14ac:dyDescent="0.25">
      <c r="B2347" s="3"/>
    </row>
    <row r="2348" spans="2:2" x14ac:dyDescent="0.25">
      <c r="B2348" s="3"/>
    </row>
    <row r="2349" spans="2:2" x14ac:dyDescent="0.25">
      <c r="B2349" s="3"/>
    </row>
    <row r="2350" spans="2:2" x14ac:dyDescent="0.25">
      <c r="B2350" s="3"/>
    </row>
    <row r="2351" spans="2:2" x14ac:dyDescent="0.25">
      <c r="B2351" s="3"/>
    </row>
    <row r="2352" spans="2:2" x14ac:dyDescent="0.25">
      <c r="B2352" s="3"/>
    </row>
    <row r="2353" spans="2:2" x14ac:dyDescent="0.25">
      <c r="B2353" s="3"/>
    </row>
    <row r="2354" spans="2:2" x14ac:dyDescent="0.25">
      <c r="B2354" s="3"/>
    </row>
    <row r="2355" spans="2:2" x14ac:dyDescent="0.25">
      <c r="B2355" s="3"/>
    </row>
    <row r="2356" spans="2:2" x14ac:dyDescent="0.25">
      <c r="B2356" s="3"/>
    </row>
    <row r="2357" spans="2:2" x14ac:dyDescent="0.25">
      <c r="B2357" s="3"/>
    </row>
    <row r="2358" spans="2:2" x14ac:dyDescent="0.25">
      <c r="B2358" s="3"/>
    </row>
    <row r="2359" spans="2:2" x14ac:dyDescent="0.25">
      <c r="B2359" s="3"/>
    </row>
    <row r="2360" spans="2:2" x14ac:dyDescent="0.25">
      <c r="B2360" s="3"/>
    </row>
    <row r="2361" spans="2:2" x14ac:dyDescent="0.25">
      <c r="B2361" s="3"/>
    </row>
    <row r="2362" spans="2:2" x14ac:dyDescent="0.25">
      <c r="B2362" s="3"/>
    </row>
    <row r="2363" spans="2:2" x14ac:dyDescent="0.25">
      <c r="B2363" s="3"/>
    </row>
    <row r="2364" spans="2:2" x14ac:dyDescent="0.25">
      <c r="B2364" s="3"/>
    </row>
    <row r="2365" spans="2:2" x14ac:dyDescent="0.25">
      <c r="B2365" s="3"/>
    </row>
    <row r="2366" spans="2:2" x14ac:dyDescent="0.25">
      <c r="B2366" s="3"/>
    </row>
    <row r="2367" spans="2:2" x14ac:dyDescent="0.25">
      <c r="B2367" s="3"/>
    </row>
    <row r="2368" spans="2:2" x14ac:dyDescent="0.25">
      <c r="B2368" s="3"/>
    </row>
    <row r="2369" spans="2:2" x14ac:dyDescent="0.25">
      <c r="B2369" s="3"/>
    </row>
    <row r="2370" spans="2:2" x14ac:dyDescent="0.25">
      <c r="B2370" s="3"/>
    </row>
    <row r="2371" spans="2:2" x14ac:dyDescent="0.25">
      <c r="B2371" s="3"/>
    </row>
    <row r="2372" spans="2:2" x14ac:dyDescent="0.25">
      <c r="B2372" s="3"/>
    </row>
    <row r="2373" spans="2:2" x14ac:dyDescent="0.25">
      <c r="B2373" s="3"/>
    </row>
    <row r="2374" spans="2:2" x14ac:dyDescent="0.25">
      <c r="B2374" s="3"/>
    </row>
    <row r="2375" spans="2:2" x14ac:dyDescent="0.25">
      <c r="B2375" s="3"/>
    </row>
    <row r="2376" spans="2:2" x14ac:dyDescent="0.25">
      <c r="B2376" s="3"/>
    </row>
    <row r="2377" spans="2:2" x14ac:dyDescent="0.25">
      <c r="B2377" s="3"/>
    </row>
    <row r="2378" spans="2:2" x14ac:dyDescent="0.25">
      <c r="B2378" s="3"/>
    </row>
    <row r="2379" spans="2:2" x14ac:dyDescent="0.25">
      <c r="B2379" s="3"/>
    </row>
    <row r="2380" spans="2:2" x14ac:dyDescent="0.25">
      <c r="B2380" s="3"/>
    </row>
    <row r="2381" spans="2:2" x14ac:dyDescent="0.25">
      <c r="B2381" s="3"/>
    </row>
    <row r="2382" spans="2:2" x14ac:dyDescent="0.25">
      <c r="B2382" s="3"/>
    </row>
    <row r="2383" spans="2:2" x14ac:dyDescent="0.25">
      <c r="B2383" s="3"/>
    </row>
    <row r="2384" spans="2:2" x14ac:dyDescent="0.25">
      <c r="B2384" s="3"/>
    </row>
    <row r="2385" spans="2:2" x14ac:dyDescent="0.25">
      <c r="B2385" s="3"/>
    </row>
    <row r="2386" spans="2:2" x14ac:dyDescent="0.25">
      <c r="B2386" s="3"/>
    </row>
    <row r="2387" spans="2:2" x14ac:dyDescent="0.25">
      <c r="B2387" s="3"/>
    </row>
    <row r="2388" spans="2:2" x14ac:dyDescent="0.25">
      <c r="B2388" s="3"/>
    </row>
    <row r="2389" spans="2:2" x14ac:dyDescent="0.25">
      <c r="B2389" s="3"/>
    </row>
    <row r="2390" spans="2:2" x14ac:dyDescent="0.25">
      <c r="B2390" s="3"/>
    </row>
    <row r="2391" spans="2:2" x14ac:dyDescent="0.25">
      <c r="B2391" s="3"/>
    </row>
    <row r="2392" spans="2:2" x14ac:dyDescent="0.25">
      <c r="B2392" s="3"/>
    </row>
    <row r="2393" spans="2:2" x14ac:dyDescent="0.25">
      <c r="B2393" s="3"/>
    </row>
    <row r="2394" spans="2:2" x14ac:dyDescent="0.25">
      <c r="B2394" s="3"/>
    </row>
    <row r="2395" spans="2:2" x14ac:dyDescent="0.25">
      <c r="B2395" s="3"/>
    </row>
    <row r="2396" spans="2:2" x14ac:dyDescent="0.25">
      <c r="B2396" s="3"/>
    </row>
    <row r="2397" spans="2:2" x14ac:dyDescent="0.25">
      <c r="B2397" s="3"/>
    </row>
    <row r="2398" spans="2:2" x14ac:dyDescent="0.25">
      <c r="B2398" s="3"/>
    </row>
    <row r="2399" spans="2:2" x14ac:dyDescent="0.25">
      <c r="B2399" s="3"/>
    </row>
    <row r="2400" spans="2:2" x14ac:dyDescent="0.25">
      <c r="B2400" s="3"/>
    </row>
    <row r="2401" spans="2:2" x14ac:dyDescent="0.25">
      <c r="B2401" s="3"/>
    </row>
    <row r="2402" spans="2:2" x14ac:dyDescent="0.25">
      <c r="B2402" s="3"/>
    </row>
    <row r="2403" spans="2:2" x14ac:dyDescent="0.25">
      <c r="B2403" s="3"/>
    </row>
    <row r="2404" spans="2:2" x14ac:dyDescent="0.25">
      <c r="B2404" s="3"/>
    </row>
    <row r="2405" spans="2:2" x14ac:dyDescent="0.25">
      <c r="B2405" s="3"/>
    </row>
    <row r="2406" spans="2:2" x14ac:dyDescent="0.25">
      <c r="B2406" s="3"/>
    </row>
    <row r="2407" spans="2:2" x14ac:dyDescent="0.25">
      <c r="B2407" s="3"/>
    </row>
    <row r="2408" spans="2:2" x14ac:dyDescent="0.25">
      <c r="B2408" s="3"/>
    </row>
    <row r="2409" spans="2:2" x14ac:dyDescent="0.25">
      <c r="B2409" s="3"/>
    </row>
    <row r="2410" spans="2:2" x14ac:dyDescent="0.25">
      <c r="B2410" s="3"/>
    </row>
    <row r="2411" spans="2:2" x14ac:dyDescent="0.25">
      <c r="B2411" s="3"/>
    </row>
    <row r="2412" spans="2:2" x14ac:dyDescent="0.25">
      <c r="B2412" s="3"/>
    </row>
    <row r="2413" spans="2:2" x14ac:dyDescent="0.25">
      <c r="B2413" s="3"/>
    </row>
    <row r="2414" spans="2:2" x14ac:dyDescent="0.25">
      <c r="B2414" s="3"/>
    </row>
    <row r="2415" spans="2:2" x14ac:dyDescent="0.25">
      <c r="B2415" s="3"/>
    </row>
    <row r="2416" spans="2:2" x14ac:dyDescent="0.25">
      <c r="B2416" s="3"/>
    </row>
    <row r="2417" spans="2:2" x14ac:dyDescent="0.25">
      <c r="B2417" s="3"/>
    </row>
    <row r="2418" spans="2:2" x14ac:dyDescent="0.25">
      <c r="B2418" s="3"/>
    </row>
    <row r="2419" spans="2:2" x14ac:dyDescent="0.25">
      <c r="B2419" s="3"/>
    </row>
    <row r="2420" spans="2:2" x14ac:dyDescent="0.25">
      <c r="B2420" s="3"/>
    </row>
    <row r="2421" spans="2:2" x14ac:dyDescent="0.25">
      <c r="B2421" s="3"/>
    </row>
    <row r="2422" spans="2:2" x14ac:dyDescent="0.25">
      <c r="B2422" s="3"/>
    </row>
    <row r="2423" spans="2:2" x14ac:dyDescent="0.25">
      <c r="B2423" s="3"/>
    </row>
    <row r="2424" spans="2:2" x14ac:dyDescent="0.25">
      <c r="B2424" s="3"/>
    </row>
    <row r="2425" spans="2:2" x14ac:dyDescent="0.25">
      <c r="B2425" s="3"/>
    </row>
    <row r="2426" spans="2:2" x14ac:dyDescent="0.25">
      <c r="B2426" s="3"/>
    </row>
    <row r="2427" spans="2:2" x14ac:dyDescent="0.25">
      <c r="B2427" s="3"/>
    </row>
    <row r="2428" spans="2:2" x14ac:dyDescent="0.25">
      <c r="B2428" s="3"/>
    </row>
    <row r="2429" spans="2:2" x14ac:dyDescent="0.25">
      <c r="B2429" s="3"/>
    </row>
    <row r="2430" spans="2:2" x14ac:dyDescent="0.25">
      <c r="B2430" s="3"/>
    </row>
    <row r="2431" spans="2:2" x14ac:dyDescent="0.25">
      <c r="B2431" s="3"/>
    </row>
    <row r="2432" spans="2:2" x14ac:dyDescent="0.25">
      <c r="B2432" s="3"/>
    </row>
    <row r="2433" spans="2:2" x14ac:dyDescent="0.25">
      <c r="B2433" s="3"/>
    </row>
    <row r="2434" spans="2:2" x14ac:dyDescent="0.25">
      <c r="B2434" s="3"/>
    </row>
    <row r="2435" spans="2:2" x14ac:dyDescent="0.25">
      <c r="B2435" s="3"/>
    </row>
    <row r="2436" spans="2:2" x14ac:dyDescent="0.25">
      <c r="B2436" s="3"/>
    </row>
    <row r="2437" spans="2:2" x14ac:dyDescent="0.25">
      <c r="B2437" s="3"/>
    </row>
    <row r="2438" spans="2:2" x14ac:dyDescent="0.25">
      <c r="B2438" s="3"/>
    </row>
    <row r="2439" spans="2:2" x14ac:dyDescent="0.25">
      <c r="B2439" s="3"/>
    </row>
    <row r="2440" spans="2:2" x14ac:dyDescent="0.25">
      <c r="B2440" s="3"/>
    </row>
    <row r="2441" spans="2:2" x14ac:dyDescent="0.25">
      <c r="B2441" s="3"/>
    </row>
    <row r="2442" spans="2:2" x14ac:dyDescent="0.25">
      <c r="B2442" s="3"/>
    </row>
    <row r="2443" spans="2:2" x14ac:dyDescent="0.25">
      <c r="B2443" s="3"/>
    </row>
    <row r="2444" spans="2:2" x14ac:dyDescent="0.25">
      <c r="B2444" s="3"/>
    </row>
    <row r="2445" spans="2:2" x14ac:dyDescent="0.25">
      <c r="B2445" s="3"/>
    </row>
    <row r="2446" spans="2:2" x14ac:dyDescent="0.25">
      <c r="B2446" s="3"/>
    </row>
    <row r="2447" spans="2:2" x14ac:dyDescent="0.25">
      <c r="B2447" s="3"/>
    </row>
    <row r="2448" spans="2:2" x14ac:dyDescent="0.25">
      <c r="B2448" s="3"/>
    </row>
    <row r="2449" spans="2:2" x14ac:dyDescent="0.25">
      <c r="B2449" s="3"/>
    </row>
    <row r="2450" spans="2:2" x14ac:dyDescent="0.25">
      <c r="B2450" s="3"/>
    </row>
    <row r="2451" spans="2:2" x14ac:dyDescent="0.25">
      <c r="B2451" s="3"/>
    </row>
    <row r="2452" spans="2:2" x14ac:dyDescent="0.25">
      <c r="B2452" s="3"/>
    </row>
    <row r="2453" spans="2:2" x14ac:dyDescent="0.25">
      <c r="B2453" s="3"/>
    </row>
    <row r="2454" spans="2:2" x14ac:dyDescent="0.25">
      <c r="B2454" s="3"/>
    </row>
    <row r="2455" spans="2:2" x14ac:dyDescent="0.25">
      <c r="B2455" s="3"/>
    </row>
    <row r="2456" spans="2:2" x14ac:dyDescent="0.25">
      <c r="B2456" s="3"/>
    </row>
    <row r="2457" spans="2:2" x14ac:dyDescent="0.25">
      <c r="B2457" s="3"/>
    </row>
    <row r="2458" spans="2:2" x14ac:dyDescent="0.25">
      <c r="B2458" s="3"/>
    </row>
    <row r="2459" spans="2:2" x14ac:dyDescent="0.25">
      <c r="B2459" s="3"/>
    </row>
    <row r="2460" spans="2:2" x14ac:dyDescent="0.25">
      <c r="B2460" s="3"/>
    </row>
    <row r="2461" spans="2:2" x14ac:dyDescent="0.25">
      <c r="B2461" s="3"/>
    </row>
    <row r="2462" spans="2:2" x14ac:dyDescent="0.25">
      <c r="B2462" s="3"/>
    </row>
    <row r="2463" spans="2:2" x14ac:dyDescent="0.25">
      <c r="B2463" s="3"/>
    </row>
    <row r="2464" spans="2:2" x14ac:dyDescent="0.25">
      <c r="B2464" s="3"/>
    </row>
    <row r="2465" spans="2:2" x14ac:dyDescent="0.25">
      <c r="B2465" s="3"/>
    </row>
    <row r="2466" spans="2:2" x14ac:dyDescent="0.25">
      <c r="B2466" s="3"/>
    </row>
    <row r="2467" spans="2:2" x14ac:dyDescent="0.25">
      <c r="B2467" s="3"/>
    </row>
    <row r="2468" spans="2:2" x14ac:dyDescent="0.25">
      <c r="B2468" s="3"/>
    </row>
    <row r="2469" spans="2:2" x14ac:dyDescent="0.25">
      <c r="B2469" s="3"/>
    </row>
    <row r="2470" spans="2:2" x14ac:dyDescent="0.25">
      <c r="B2470" s="3"/>
    </row>
    <row r="2471" spans="2:2" x14ac:dyDescent="0.25">
      <c r="B2471" s="3"/>
    </row>
    <row r="2472" spans="2:2" x14ac:dyDescent="0.25">
      <c r="B2472" s="3"/>
    </row>
    <row r="2473" spans="2:2" x14ac:dyDescent="0.25">
      <c r="B2473" s="3"/>
    </row>
    <row r="2474" spans="2:2" x14ac:dyDescent="0.25">
      <c r="B2474" s="3"/>
    </row>
    <row r="2475" spans="2:2" x14ac:dyDescent="0.25">
      <c r="B2475" s="3"/>
    </row>
    <row r="2476" spans="2:2" x14ac:dyDescent="0.25">
      <c r="B2476" s="3"/>
    </row>
    <row r="2477" spans="2:2" x14ac:dyDescent="0.25">
      <c r="B2477" s="3"/>
    </row>
    <row r="2478" spans="2:2" x14ac:dyDescent="0.25">
      <c r="B2478" s="3"/>
    </row>
    <row r="2479" spans="2:2" x14ac:dyDescent="0.25">
      <c r="B2479" s="3"/>
    </row>
    <row r="2480" spans="2:2" x14ac:dyDescent="0.25">
      <c r="B2480" s="3"/>
    </row>
    <row r="2481" spans="2:2" x14ac:dyDescent="0.25">
      <c r="B2481" s="3"/>
    </row>
    <row r="2482" spans="2:2" x14ac:dyDescent="0.25">
      <c r="B2482" s="3"/>
    </row>
    <row r="2483" spans="2:2" x14ac:dyDescent="0.25">
      <c r="B2483" s="3"/>
    </row>
    <row r="2484" spans="2:2" x14ac:dyDescent="0.25">
      <c r="B2484" s="3"/>
    </row>
    <row r="2485" spans="2:2" x14ac:dyDescent="0.25">
      <c r="B2485" s="3"/>
    </row>
    <row r="2486" spans="2:2" x14ac:dyDescent="0.25">
      <c r="B2486" s="3"/>
    </row>
    <row r="2487" spans="2:2" x14ac:dyDescent="0.25">
      <c r="B2487" s="3"/>
    </row>
    <row r="2488" spans="2:2" x14ac:dyDescent="0.25">
      <c r="B2488" s="3"/>
    </row>
    <row r="2489" spans="2:2" x14ac:dyDescent="0.25">
      <c r="B2489" s="3"/>
    </row>
    <row r="2490" spans="2:2" x14ac:dyDescent="0.25">
      <c r="B2490" s="3"/>
    </row>
    <row r="2491" spans="2:2" x14ac:dyDescent="0.25">
      <c r="B2491" s="3"/>
    </row>
    <row r="2492" spans="2:2" x14ac:dyDescent="0.25">
      <c r="B2492" s="3"/>
    </row>
    <row r="2493" spans="2:2" x14ac:dyDescent="0.25">
      <c r="B2493" s="3"/>
    </row>
    <row r="2494" spans="2:2" x14ac:dyDescent="0.25">
      <c r="B2494" s="3"/>
    </row>
    <row r="2495" spans="2:2" x14ac:dyDescent="0.25">
      <c r="B2495" s="3"/>
    </row>
    <row r="2496" spans="2:2" x14ac:dyDescent="0.25">
      <c r="B2496" s="3"/>
    </row>
    <row r="2497" spans="2:2" x14ac:dyDescent="0.25">
      <c r="B2497" s="3"/>
    </row>
    <row r="2498" spans="2:2" x14ac:dyDescent="0.25">
      <c r="B2498" s="3"/>
    </row>
    <row r="2499" spans="2:2" x14ac:dyDescent="0.25">
      <c r="B2499" s="3"/>
    </row>
    <row r="2500" spans="2:2" x14ac:dyDescent="0.25">
      <c r="B2500" s="3"/>
    </row>
    <row r="2501" spans="2:2" x14ac:dyDescent="0.25">
      <c r="B2501" s="3"/>
    </row>
    <row r="2502" spans="2:2" x14ac:dyDescent="0.25">
      <c r="B2502" s="3"/>
    </row>
    <row r="2503" spans="2:2" x14ac:dyDescent="0.25">
      <c r="B2503" s="3"/>
    </row>
    <row r="2504" spans="2:2" x14ac:dyDescent="0.25">
      <c r="B2504" s="3"/>
    </row>
    <row r="2505" spans="2:2" x14ac:dyDescent="0.25">
      <c r="B2505" s="3"/>
    </row>
    <row r="2506" spans="2:2" x14ac:dyDescent="0.25">
      <c r="B2506" s="3"/>
    </row>
    <row r="2507" spans="2:2" x14ac:dyDescent="0.25">
      <c r="B2507" s="3"/>
    </row>
    <row r="2508" spans="2:2" x14ac:dyDescent="0.25">
      <c r="B2508" s="3"/>
    </row>
    <row r="2509" spans="2:2" x14ac:dyDescent="0.25">
      <c r="B2509" s="3"/>
    </row>
    <row r="2510" spans="2:2" x14ac:dyDescent="0.25">
      <c r="B2510" s="3"/>
    </row>
    <row r="2511" spans="2:2" x14ac:dyDescent="0.25">
      <c r="B2511" s="3"/>
    </row>
    <row r="2512" spans="2:2" x14ac:dyDescent="0.25">
      <c r="B2512" s="3"/>
    </row>
    <row r="2513" spans="2:2" x14ac:dyDescent="0.25">
      <c r="B2513" s="3"/>
    </row>
    <row r="2514" spans="2:2" x14ac:dyDescent="0.25">
      <c r="B2514" s="3"/>
    </row>
    <row r="2515" spans="2:2" x14ac:dyDescent="0.25">
      <c r="B2515" s="3"/>
    </row>
    <row r="2516" spans="2:2" x14ac:dyDescent="0.25">
      <c r="B2516" s="3"/>
    </row>
    <row r="2517" spans="2:2" x14ac:dyDescent="0.25">
      <c r="B2517" s="3"/>
    </row>
    <row r="2518" spans="2:2" x14ac:dyDescent="0.25">
      <c r="B2518" s="3"/>
    </row>
    <row r="2519" spans="2:2" x14ac:dyDescent="0.25">
      <c r="B2519" s="3"/>
    </row>
    <row r="2520" spans="2:2" x14ac:dyDescent="0.25">
      <c r="B2520" s="3"/>
    </row>
    <row r="2521" spans="2:2" x14ac:dyDescent="0.25">
      <c r="B2521" s="3"/>
    </row>
    <row r="2522" spans="2:2" x14ac:dyDescent="0.25">
      <c r="B2522" s="3"/>
    </row>
    <row r="2523" spans="2:2" x14ac:dyDescent="0.25">
      <c r="B2523" s="3"/>
    </row>
    <row r="2524" spans="2:2" x14ac:dyDescent="0.25">
      <c r="B2524" s="3"/>
    </row>
    <row r="2525" spans="2:2" x14ac:dyDescent="0.25">
      <c r="B2525" s="3"/>
    </row>
    <row r="2526" spans="2:2" x14ac:dyDescent="0.25">
      <c r="B2526" s="3"/>
    </row>
    <row r="2527" spans="2:2" x14ac:dyDescent="0.25">
      <c r="B2527" s="3"/>
    </row>
    <row r="2528" spans="2:2" x14ac:dyDescent="0.25">
      <c r="B2528" s="3"/>
    </row>
    <row r="2529" spans="2:2" x14ac:dyDescent="0.25">
      <c r="B2529" s="3"/>
    </row>
    <row r="2530" spans="2:2" x14ac:dyDescent="0.25">
      <c r="B2530" s="3"/>
    </row>
    <row r="2531" spans="2:2" x14ac:dyDescent="0.25">
      <c r="B2531" s="3"/>
    </row>
    <row r="2532" spans="2:2" x14ac:dyDescent="0.25">
      <c r="B2532" s="3"/>
    </row>
    <row r="2533" spans="2:2" x14ac:dyDescent="0.25">
      <c r="B2533" s="3"/>
    </row>
    <row r="2534" spans="2:2" x14ac:dyDescent="0.25">
      <c r="B2534" s="3"/>
    </row>
    <row r="2535" spans="2:2" x14ac:dyDescent="0.25">
      <c r="B2535" s="3"/>
    </row>
    <row r="2536" spans="2:2" x14ac:dyDescent="0.25">
      <c r="B2536" s="3"/>
    </row>
    <row r="2537" spans="2:2" x14ac:dyDescent="0.25">
      <c r="B2537" s="3"/>
    </row>
    <row r="2538" spans="2:2" x14ac:dyDescent="0.25">
      <c r="B2538" s="3"/>
    </row>
    <row r="2539" spans="2:2" x14ac:dyDescent="0.25">
      <c r="B2539" s="3"/>
    </row>
    <row r="2540" spans="2:2" x14ac:dyDescent="0.25">
      <c r="B2540" s="3"/>
    </row>
    <row r="2541" spans="2:2" x14ac:dyDescent="0.25">
      <c r="B2541" s="3"/>
    </row>
    <row r="2542" spans="2:2" x14ac:dyDescent="0.25">
      <c r="B2542" s="3"/>
    </row>
    <row r="2543" spans="2:2" x14ac:dyDescent="0.25">
      <c r="B2543" s="3"/>
    </row>
    <row r="2544" spans="2:2" x14ac:dyDescent="0.25">
      <c r="B2544" s="3"/>
    </row>
    <row r="2545" spans="2:2" x14ac:dyDescent="0.25">
      <c r="B2545" s="3"/>
    </row>
    <row r="2546" spans="2:2" x14ac:dyDescent="0.25">
      <c r="B2546" s="3"/>
    </row>
    <row r="2547" spans="2:2" x14ac:dyDescent="0.25">
      <c r="B2547" s="3"/>
    </row>
    <row r="2548" spans="2:2" x14ac:dyDescent="0.25">
      <c r="B2548" s="3"/>
    </row>
    <row r="2549" spans="2:2" x14ac:dyDescent="0.25">
      <c r="B2549" s="3"/>
    </row>
    <row r="2550" spans="2:2" x14ac:dyDescent="0.25">
      <c r="B2550" s="3"/>
    </row>
    <row r="2551" spans="2:2" x14ac:dyDescent="0.25">
      <c r="B2551" s="3"/>
    </row>
    <row r="2552" spans="2:2" x14ac:dyDescent="0.25">
      <c r="B2552" s="3"/>
    </row>
    <row r="2553" spans="2:2" x14ac:dyDescent="0.25">
      <c r="B2553" s="3"/>
    </row>
    <row r="2554" spans="2:2" x14ac:dyDescent="0.25">
      <c r="B2554" s="3"/>
    </row>
    <row r="2555" spans="2:2" x14ac:dyDescent="0.25">
      <c r="B2555" s="3"/>
    </row>
    <row r="2556" spans="2:2" x14ac:dyDescent="0.25">
      <c r="B2556" s="3"/>
    </row>
    <row r="2557" spans="2:2" x14ac:dyDescent="0.25">
      <c r="B2557" s="3"/>
    </row>
    <row r="2558" spans="2:2" x14ac:dyDescent="0.25">
      <c r="B2558" s="3"/>
    </row>
    <row r="2559" spans="2:2" x14ac:dyDescent="0.25">
      <c r="B2559" s="3"/>
    </row>
    <row r="2560" spans="2:2" x14ac:dyDescent="0.25">
      <c r="B2560" s="3"/>
    </row>
    <row r="2561" spans="2:2" x14ac:dyDescent="0.25">
      <c r="B2561" s="3"/>
    </row>
    <row r="2562" spans="2:2" x14ac:dyDescent="0.25">
      <c r="B2562" s="3"/>
    </row>
    <row r="2563" spans="2:2" x14ac:dyDescent="0.25">
      <c r="B2563" s="3"/>
    </row>
    <row r="2564" spans="2:2" x14ac:dyDescent="0.25">
      <c r="B2564" s="3"/>
    </row>
    <row r="2565" spans="2:2" x14ac:dyDescent="0.25">
      <c r="B2565" s="3"/>
    </row>
    <row r="2566" spans="2:2" x14ac:dyDescent="0.25">
      <c r="B2566" s="3"/>
    </row>
    <row r="2567" spans="2:2" x14ac:dyDescent="0.25">
      <c r="B2567" s="3"/>
    </row>
    <row r="2568" spans="2:2" x14ac:dyDescent="0.25">
      <c r="B2568" s="3"/>
    </row>
    <row r="2569" spans="2:2" x14ac:dyDescent="0.25">
      <c r="B2569" s="3"/>
    </row>
    <row r="2570" spans="2:2" x14ac:dyDescent="0.25">
      <c r="B2570" s="3"/>
    </row>
    <row r="2571" spans="2:2" x14ac:dyDescent="0.25">
      <c r="B2571" s="3"/>
    </row>
    <row r="2572" spans="2:2" x14ac:dyDescent="0.25">
      <c r="B2572" s="3"/>
    </row>
    <row r="2573" spans="2:2" x14ac:dyDescent="0.25">
      <c r="B2573" s="3"/>
    </row>
    <row r="2574" spans="2:2" x14ac:dyDescent="0.25">
      <c r="B2574" s="3"/>
    </row>
    <row r="2575" spans="2:2" x14ac:dyDescent="0.25">
      <c r="B2575" s="3"/>
    </row>
    <row r="2576" spans="2:2" x14ac:dyDescent="0.25">
      <c r="B2576" s="3"/>
    </row>
    <row r="2577" spans="2:2" x14ac:dyDescent="0.25">
      <c r="B2577" s="3"/>
    </row>
    <row r="2578" spans="2:2" x14ac:dyDescent="0.25">
      <c r="B2578" s="3"/>
    </row>
    <row r="2579" spans="2:2" x14ac:dyDescent="0.25">
      <c r="B2579" s="3"/>
    </row>
    <row r="2580" spans="2:2" x14ac:dyDescent="0.25">
      <c r="B2580" s="3"/>
    </row>
    <row r="2581" spans="2:2" x14ac:dyDescent="0.25">
      <c r="B2581" s="3"/>
    </row>
    <row r="2582" spans="2:2" x14ac:dyDescent="0.25">
      <c r="B2582" s="3"/>
    </row>
    <row r="2583" spans="2:2" x14ac:dyDescent="0.25">
      <c r="B2583" s="3"/>
    </row>
    <row r="2584" spans="2:2" x14ac:dyDescent="0.25">
      <c r="B2584" s="3"/>
    </row>
    <row r="2585" spans="2:2" x14ac:dyDescent="0.25">
      <c r="B2585" s="3"/>
    </row>
    <row r="2586" spans="2:2" x14ac:dyDescent="0.25">
      <c r="B2586" s="3"/>
    </row>
    <row r="2587" spans="2:2" x14ac:dyDescent="0.25">
      <c r="B2587" s="3"/>
    </row>
    <row r="2588" spans="2:2" x14ac:dyDescent="0.25">
      <c r="B2588" s="3"/>
    </row>
    <row r="2589" spans="2:2" x14ac:dyDescent="0.25">
      <c r="B2589" s="3"/>
    </row>
    <row r="2590" spans="2:2" x14ac:dyDescent="0.25">
      <c r="B2590" s="3"/>
    </row>
    <row r="2591" spans="2:2" x14ac:dyDescent="0.25">
      <c r="B2591" s="3"/>
    </row>
    <row r="2592" spans="2:2" x14ac:dyDescent="0.25">
      <c r="B2592" s="3"/>
    </row>
    <row r="2593" spans="2:2" x14ac:dyDescent="0.25">
      <c r="B2593" s="3"/>
    </row>
    <row r="2594" spans="2:2" x14ac:dyDescent="0.25">
      <c r="B2594" s="3"/>
    </row>
    <row r="2595" spans="2:2" x14ac:dyDescent="0.25">
      <c r="B2595" s="3"/>
    </row>
    <row r="2596" spans="2:2" x14ac:dyDescent="0.25">
      <c r="B2596" s="3"/>
    </row>
    <row r="2597" spans="2:2" x14ac:dyDescent="0.25">
      <c r="B2597" s="3"/>
    </row>
    <row r="2598" spans="2:2" x14ac:dyDescent="0.25">
      <c r="B2598" s="3"/>
    </row>
    <row r="2599" spans="2:2" x14ac:dyDescent="0.25">
      <c r="B2599" s="3"/>
    </row>
    <row r="2600" spans="2:2" x14ac:dyDescent="0.25">
      <c r="B2600" s="3"/>
    </row>
    <row r="2601" spans="2:2" x14ac:dyDescent="0.25">
      <c r="B2601" s="3"/>
    </row>
    <row r="2602" spans="2:2" x14ac:dyDescent="0.25">
      <c r="B2602" s="3"/>
    </row>
    <row r="2603" spans="2:2" x14ac:dyDescent="0.25">
      <c r="B2603" s="3"/>
    </row>
    <row r="2604" spans="2:2" x14ac:dyDescent="0.25">
      <c r="B2604" s="3"/>
    </row>
    <row r="2605" spans="2:2" x14ac:dyDescent="0.25">
      <c r="B2605" s="3"/>
    </row>
    <row r="2606" spans="2:2" x14ac:dyDescent="0.25">
      <c r="B2606" s="3"/>
    </row>
    <row r="2607" spans="2:2" x14ac:dyDescent="0.25">
      <c r="B2607" s="3"/>
    </row>
    <row r="2608" spans="2:2" x14ac:dyDescent="0.25">
      <c r="B2608" s="3"/>
    </row>
    <row r="2609" spans="2:2" x14ac:dyDescent="0.25">
      <c r="B2609" s="3"/>
    </row>
    <row r="2610" spans="2:2" x14ac:dyDescent="0.25">
      <c r="B2610" s="3"/>
    </row>
    <row r="2611" spans="2:2" x14ac:dyDescent="0.25">
      <c r="B2611" s="3"/>
    </row>
    <row r="2612" spans="2:2" x14ac:dyDescent="0.25">
      <c r="B2612" s="3"/>
    </row>
    <row r="2613" spans="2:2" x14ac:dyDescent="0.25">
      <c r="B2613" s="3"/>
    </row>
    <row r="2614" spans="2:2" x14ac:dyDescent="0.25">
      <c r="B2614" s="3"/>
    </row>
    <row r="2615" spans="2:2" x14ac:dyDescent="0.25">
      <c r="B2615" s="3"/>
    </row>
    <row r="2616" spans="2:2" x14ac:dyDescent="0.25">
      <c r="B2616" s="3"/>
    </row>
    <row r="2617" spans="2:2" x14ac:dyDescent="0.25">
      <c r="B2617" s="3"/>
    </row>
    <row r="2618" spans="2:2" x14ac:dyDescent="0.25">
      <c r="B2618" s="3"/>
    </row>
    <row r="2619" spans="2:2" x14ac:dyDescent="0.25">
      <c r="B2619" s="3"/>
    </row>
    <row r="2620" spans="2:2" x14ac:dyDescent="0.25">
      <c r="B2620" s="3"/>
    </row>
    <row r="2621" spans="2:2" x14ac:dyDescent="0.25">
      <c r="B2621" s="3"/>
    </row>
    <row r="2622" spans="2:2" x14ac:dyDescent="0.25">
      <c r="B2622" s="3"/>
    </row>
    <row r="2623" spans="2:2" x14ac:dyDescent="0.25">
      <c r="B2623" s="3"/>
    </row>
    <row r="2624" spans="2:2" x14ac:dyDescent="0.25">
      <c r="B2624" s="3"/>
    </row>
    <row r="2625" spans="2:2" x14ac:dyDescent="0.25">
      <c r="B2625" s="3"/>
    </row>
    <row r="2626" spans="2:2" x14ac:dyDescent="0.25">
      <c r="B2626" s="3"/>
    </row>
    <row r="2627" spans="2:2" x14ac:dyDescent="0.25">
      <c r="B2627" s="3"/>
    </row>
    <row r="2628" spans="2:2" x14ac:dyDescent="0.25">
      <c r="B2628" s="3"/>
    </row>
    <row r="2629" spans="2:2" x14ac:dyDescent="0.25">
      <c r="B2629" s="3"/>
    </row>
    <row r="2630" spans="2:2" x14ac:dyDescent="0.25">
      <c r="B2630" s="3"/>
    </row>
    <row r="2631" spans="2:2" x14ac:dyDescent="0.25">
      <c r="B2631" s="3"/>
    </row>
    <row r="2632" spans="2:2" x14ac:dyDescent="0.25">
      <c r="B2632" s="3"/>
    </row>
    <row r="2633" spans="2:2" x14ac:dyDescent="0.25">
      <c r="B2633" s="3"/>
    </row>
    <row r="2634" spans="2:2" x14ac:dyDescent="0.25">
      <c r="B2634" s="3"/>
    </row>
    <row r="2635" spans="2:2" x14ac:dyDescent="0.25">
      <c r="B2635" s="3"/>
    </row>
    <row r="2636" spans="2:2" x14ac:dyDescent="0.25">
      <c r="B2636" s="3"/>
    </row>
    <row r="2637" spans="2:2" x14ac:dyDescent="0.25">
      <c r="B2637" s="3"/>
    </row>
    <row r="2638" spans="2:2" x14ac:dyDescent="0.25">
      <c r="B2638" s="3"/>
    </row>
    <row r="2639" spans="2:2" x14ac:dyDescent="0.25">
      <c r="B2639" s="3"/>
    </row>
    <row r="2640" spans="2:2" x14ac:dyDescent="0.25">
      <c r="B2640" s="3"/>
    </row>
    <row r="2641" spans="2:2" x14ac:dyDescent="0.25">
      <c r="B2641" s="3"/>
    </row>
    <row r="2642" spans="2:2" x14ac:dyDescent="0.25">
      <c r="B2642" s="3"/>
    </row>
    <row r="2643" spans="2:2" x14ac:dyDescent="0.25">
      <c r="B2643" s="3"/>
    </row>
    <row r="2644" spans="2:2" x14ac:dyDescent="0.25">
      <c r="B2644" s="3"/>
    </row>
    <row r="2645" spans="2:2" x14ac:dyDescent="0.25">
      <c r="B2645" s="3"/>
    </row>
    <row r="2646" spans="2:2" x14ac:dyDescent="0.25">
      <c r="B2646" s="3"/>
    </row>
    <row r="2647" spans="2:2" x14ac:dyDescent="0.25">
      <c r="B2647" s="3"/>
    </row>
    <row r="2648" spans="2:2" x14ac:dyDescent="0.25">
      <c r="B2648" s="3"/>
    </row>
    <row r="2649" spans="2:2" x14ac:dyDescent="0.25">
      <c r="B2649" s="3"/>
    </row>
    <row r="2650" spans="2:2" x14ac:dyDescent="0.25">
      <c r="B2650" s="3"/>
    </row>
    <row r="2651" spans="2:2" x14ac:dyDescent="0.25">
      <c r="B2651" s="3"/>
    </row>
    <row r="2652" spans="2:2" x14ac:dyDescent="0.25">
      <c r="B2652" s="3"/>
    </row>
    <row r="2653" spans="2:2" x14ac:dyDescent="0.25">
      <c r="B2653" s="3"/>
    </row>
    <row r="2654" spans="2:2" x14ac:dyDescent="0.25">
      <c r="B2654" s="3"/>
    </row>
    <row r="2655" spans="2:2" x14ac:dyDescent="0.25">
      <c r="B2655" s="3"/>
    </row>
    <row r="2656" spans="2:2" x14ac:dyDescent="0.25">
      <c r="B2656" s="3"/>
    </row>
    <row r="2657" spans="2:2" x14ac:dyDescent="0.25">
      <c r="B2657" s="3"/>
    </row>
    <row r="2658" spans="2:2" x14ac:dyDescent="0.25">
      <c r="B2658" s="3"/>
    </row>
    <row r="2659" spans="2:2" x14ac:dyDescent="0.25">
      <c r="B2659" s="3"/>
    </row>
    <row r="2660" spans="2:2" x14ac:dyDescent="0.25">
      <c r="B2660" s="3"/>
    </row>
    <row r="2661" spans="2:2" x14ac:dyDescent="0.25">
      <c r="B2661" s="3"/>
    </row>
    <row r="2662" spans="2:2" x14ac:dyDescent="0.25">
      <c r="B2662" s="3"/>
    </row>
    <row r="2663" spans="2:2" x14ac:dyDescent="0.25">
      <c r="B2663" s="3"/>
    </row>
    <row r="2664" spans="2:2" x14ac:dyDescent="0.25">
      <c r="B2664" s="3"/>
    </row>
    <row r="2665" spans="2:2" x14ac:dyDescent="0.25">
      <c r="B2665" s="3"/>
    </row>
    <row r="2666" spans="2:2" x14ac:dyDescent="0.25">
      <c r="B2666" s="3"/>
    </row>
    <row r="2667" spans="2:2" x14ac:dyDescent="0.25">
      <c r="B2667" s="3"/>
    </row>
    <row r="2668" spans="2:2" x14ac:dyDescent="0.25">
      <c r="B2668" s="3"/>
    </row>
    <row r="2669" spans="2:2" x14ac:dyDescent="0.25">
      <c r="B2669" s="3"/>
    </row>
    <row r="2670" spans="2:2" x14ac:dyDescent="0.25">
      <c r="B2670" s="3"/>
    </row>
    <row r="2671" spans="2:2" x14ac:dyDescent="0.25">
      <c r="B2671" s="3"/>
    </row>
    <row r="2672" spans="2:2" x14ac:dyDescent="0.25">
      <c r="B2672" s="3"/>
    </row>
    <row r="2673" spans="2:2" x14ac:dyDescent="0.25">
      <c r="B2673" s="3"/>
    </row>
    <row r="2674" spans="2:2" x14ac:dyDescent="0.25">
      <c r="B2674" s="3"/>
    </row>
    <row r="2675" spans="2:2" x14ac:dyDescent="0.25">
      <c r="B2675" s="3"/>
    </row>
    <row r="2676" spans="2:2" x14ac:dyDescent="0.25">
      <c r="B2676" s="3"/>
    </row>
    <row r="2677" spans="2:2" x14ac:dyDescent="0.25">
      <c r="B2677" s="3"/>
    </row>
    <row r="2678" spans="2:2" x14ac:dyDescent="0.25">
      <c r="B2678" s="3"/>
    </row>
    <row r="2679" spans="2:2" x14ac:dyDescent="0.25">
      <c r="B2679" s="3"/>
    </row>
    <row r="2680" spans="2:2" x14ac:dyDescent="0.25">
      <c r="B2680" s="3"/>
    </row>
    <row r="2681" spans="2:2" x14ac:dyDescent="0.25">
      <c r="B2681" s="3"/>
    </row>
    <row r="2682" spans="2:2" x14ac:dyDescent="0.25">
      <c r="B2682" s="3"/>
    </row>
    <row r="2683" spans="2:2" x14ac:dyDescent="0.25">
      <c r="B2683" s="3"/>
    </row>
    <row r="2684" spans="2:2" x14ac:dyDescent="0.25">
      <c r="B2684" s="3"/>
    </row>
    <row r="2685" spans="2:2" x14ac:dyDescent="0.25">
      <c r="B2685" s="3"/>
    </row>
    <row r="2686" spans="2:2" x14ac:dyDescent="0.25">
      <c r="B2686" s="3"/>
    </row>
    <row r="2687" spans="2:2" x14ac:dyDescent="0.25">
      <c r="B2687" s="3"/>
    </row>
    <row r="2688" spans="2:2" x14ac:dyDescent="0.25">
      <c r="B2688" s="3"/>
    </row>
    <row r="2689" spans="2:2" x14ac:dyDescent="0.25">
      <c r="B2689" s="3"/>
    </row>
    <row r="2690" spans="2:2" x14ac:dyDescent="0.25">
      <c r="B2690" s="3"/>
    </row>
    <row r="2691" spans="2:2" x14ac:dyDescent="0.25">
      <c r="B2691" s="3"/>
    </row>
    <row r="2692" spans="2:2" x14ac:dyDescent="0.25">
      <c r="B2692" s="3"/>
    </row>
    <row r="2693" spans="2:2" x14ac:dyDescent="0.25">
      <c r="B2693" s="3"/>
    </row>
    <row r="2694" spans="2:2" x14ac:dyDescent="0.25">
      <c r="B2694" s="3"/>
    </row>
    <row r="2695" spans="2:2" x14ac:dyDescent="0.25">
      <c r="B2695" s="3"/>
    </row>
    <row r="2696" spans="2:2" x14ac:dyDescent="0.25">
      <c r="B2696" s="3"/>
    </row>
    <row r="2697" spans="2:2" x14ac:dyDescent="0.25">
      <c r="B2697" s="3"/>
    </row>
    <row r="2698" spans="2:2" x14ac:dyDescent="0.25">
      <c r="B2698" s="3"/>
    </row>
    <row r="2699" spans="2:2" x14ac:dyDescent="0.25">
      <c r="B2699" s="3"/>
    </row>
    <row r="2700" spans="2:2" x14ac:dyDescent="0.25">
      <c r="B2700" s="3"/>
    </row>
    <row r="2701" spans="2:2" x14ac:dyDescent="0.25">
      <c r="B2701" s="3"/>
    </row>
    <row r="2702" spans="2:2" x14ac:dyDescent="0.25">
      <c r="B2702" s="3"/>
    </row>
    <row r="2703" spans="2:2" x14ac:dyDescent="0.25">
      <c r="B2703" s="3"/>
    </row>
    <row r="2704" spans="2:2" x14ac:dyDescent="0.25">
      <c r="B2704" s="3"/>
    </row>
    <row r="2705" spans="2:2" x14ac:dyDescent="0.25">
      <c r="B2705" s="3"/>
    </row>
    <row r="2706" spans="2:2" x14ac:dyDescent="0.25">
      <c r="B2706" s="3"/>
    </row>
    <row r="2707" spans="2:2" x14ac:dyDescent="0.25">
      <c r="B2707" s="3"/>
    </row>
    <row r="2708" spans="2:2" x14ac:dyDescent="0.25">
      <c r="B2708" s="3"/>
    </row>
    <row r="2709" spans="2:2" x14ac:dyDescent="0.25">
      <c r="B2709" s="3"/>
    </row>
    <row r="2710" spans="2:2" x14ac:dyDescent="0.25">
      <c r="B2710" s="3"/>
    </row>
    <row r="2711" spans="2:2" x14ac:dyDescent="0.25">
      <c r="B2711" s="3"/>
    </row>
    <row r="2712" spans="2:2" x14ac:dyDescent="0.25">
      <c r="B2712" s="3"/>
    </row>
    <row r="2713" spans="2:2" x14ac:dyDescent="0.25">
      <c r="B2713" s="3"/>
    </row>
    <row r="2714" spans="2:2" x14ac:dyDescent="0.25">
      <c r="B2714" s="3"/>
    </row>
    <row r="2715" spans="2:2" x14ac:dyDescent="0.25">
      <c r="B2715" s="3"/>
    </row>
    <row r="2716" spans="2:2" x14ac:dyDescent="0.25">
      <c r="B2716" s="3"/>
    </row>
    <row r="2717" spans="2:2" x14ac:dyDescent="0.25">
      <c r="B2717" s="3"/>
    </row>
    <row r="2718" spans="2:2" x14ac:dyDescent="0.25">
      <c r="B2718" s="3"/>
    </row>
    <row r="2719" spans="2:2" x14ac:dyDescent="0.25">
      <c r="B2719" s="3"/>
    </row>
    <row r="2720" spans="2:2" x14ac:dyDescent="0.25">
      <c r="B2720" s="3"/>
    </row>
    <row r="2721" spans="2:2" x14ac:dyDescent="0.25">
      <c r="B2721" s="3"/>
    </row>
    <row r="2722" spans="2:2" x14ac:dyDescent="0.25">
      <c r="B2722" s="3"/>
    </row>
    <row r="2723" spans="2:2" x14ac:dyDescent="0.25">
      <c r="B2723" s="3"/>
    </row>
    <row r="2724" spans="2:2" x14ac:dyDescent="0.25">
      <c r="B2724" s="3"/>
    </row>
    <row r="2725" spans="2:2" x14ac:dyDescent="0.25">
      <c r="B2725" s="3"/>
    </row>
    <row r="2726" spans="2:2" x14ac:dyDescent="0.25">
      <c r="B2726" s="3"/>
    </row>
    <row r="2727" spans="2:2" x14ac:dyDescent="0.25">
      <c r="B2727" s="3"/>
    </row>
    <row r="2728" spans="2:2" x14ac:dyDescent="0.25">
      <c r="B2728" s="3"/>
    </row>
    <row r="2729" spans="2:2" x14ac:dyDescent="0.25">
      <c r="B2729" s="3"/>
    </row>
    <row r="2730" spans="2:2" x14ac:dyDescent="0.25">
      <c r="B2730" s="3"/>
    </row>
    <row r="2731" spans="2:2" x14ac:dyDescent="0.25">
      <c r="B2731" s="3"/>
    </row>
    <row r="2732" spans="2:2" x14ac:dyDescent="0.25">
      <c r="B2732" s="3"/>
    </row>
    <row r="2733" spans="2:2" x14ac:dyDescent="0.25">
      <c r="B2733" s="3"/>
    </row>
    <row r="2734" spans="2:2" x14ac:dyDescent="0.25">
      <c r="B2734" s="3"/>
    </row>
    <row r="2735" spans="2:2" x14ac:dyDescent="0.25">
      <c r="B2735" s="3"/>
    </row>
    <row r="2736" spans="2:2" x14ac:dyDescent="0.25">
      <c r="B2736" s="3"/>
    </row>
    <row r="2737" spans="2:2" x14ac:dyDescent="0.25">
      <c r="B2737" s="3"/>
    </row>
    <row r="2738" spans="2:2" x14ac:dyDescent="0.25">
      <c r="B2738" s="3"/>
    </row>
    <row r="2739" spans="2:2" x14ac:dyDescent="0.25">
      <c r="B2739" s="3"/>
    </row>
    <row r="2740" spans="2:2" x14ac:dyDescent="0.25">
      <c r="B2740" s="3"/>
    </row>
    <row r="2741" spans="2:2" x14ac:dyDescent="0.25">
      <c r="B2741" s="3"/>
    </row>
    <row r="2742" spans="2:2" x14ac:dyDescent="0.25">
      <c r="B2742" s="3"/>
    </row>
    <row r="2743" spans="2:2" x14ac:dyDescent="0.25">
      <c r="B2743" s="3"/>
    </row>
    <row r="2744" spans="2:2" x14ac:dyDescent="0.25">
      <c r="B2744" s="3"/>
    </row>
    <row r="2745" spans="2:2" x14ac:dyDescent="0.25">
      <c r="B2745" s="3"/>
    </row>
    <row r="2746" spans="2:2" x14ac:dyDescent="0.25">
      <c r="B2746" s="3"/>
    </row>
    <row r="2747" spans="2:2" x14ac:dyDescent="0.25">
      <c r="B2747" s="3"/>
    </row>
    <row r="2748" spans="2:2" x14ac:dyDescent="0.25">
      <c r="B2748" s="3"/>
    </row>
    <row r="2749" spans="2:2" x14ac:dyDescent="0.25">
      <c r="B2749" s="3"/>
    </row>
    <row r="2750" spans="2:2" x14ac:dyDescent="0.25">
      <c r="B2750" s="3"/>
    </row>
    <row r="2751" spans="2:2" x14ac:dyDescent="0.25">
      <c r="B2751" s="3"/>
    </row>
    <row r="2752" spans="2:2" x14ac:dyDescent="0.25">
      <c r="B2752" s="3"/>
    </row>
    <row r="2753" spans="2:2" x14ac:dyDescent="0.25">
      <c r="B2753" s="3"/>
    </row>
    <row r="2754" spans="2:2" x14ac:dyDescent="0.25">
      <c r="B2754" s="3"/>
    </row>
    <row r="2755" spans="2:2" x14ac:dyDescent="0.25">
      <c r="B2755" s="3"/>
    </row>
    <row r="2756" spans="2:2" x14ac:dyDescent="0.25">
      <c r="B2756" s="3"/>
    </row>
    <row r="2757" spans="2:2" x14ac:dyDescent="0.25">
      <c r="B2757" s="3"/>
    </row>
    <row r="2758" spans="2:2" x14ac:dyDescent="0.25">
      <c r="B2758" s="3"/>
    </row>
    <row r="2759" spans="2:2" x14ac:dyDescent="0.25">
      <c r="B2759" s="3"/>
    </row>
    <row r="2760" spans="2:2" x14ac:dyDescent="0.25">
      <c r="B2760" s="3"/>
    </row>
    <row r="2761" spans="2:2" x14ac:dyDescent="0.25">
      <c r="B2761" s="3"/>
    </row>
    <row r="2762" spans="2:2" x14ac:dyDescent="0.25">
      <c r="B2762" s="3"/>
    </row>
    <row r="2763" spans="2:2" x14ac:dyDescent="0.25">
      <c r="B2763" s="3"/>
    </row>
    <row r="2764" spans="2:2" x14ac:dyDescent="0.25">
      <c r="B2764" s="3"/>
    </row>
    <row r="2765" spans="2:2" x14ac:dyDescent="0.25">
      <c r="B2765" s="3"/>
    </row>
    <row r="2766" spans="2:2" x14ac:dyDescent="0.25">
      <c r="B2766" s="3"/>
    </row>
    <row r="2767" spans="2:2" x14ac:dyDescent="0.25">
      <c r="B2767" s="3"/>
    </row>
    <row r="2768" spans="2:2" x14ac:dyDescent="0.25">
      <c r="B2768" s="3"/>
    </row>
    <row r="2769" spans="2:2" x14ac:dyDescent="0.25">
      <c r="B2769" s="3"/>
    </row>
    <row r="2770" spans="2:2" x14ac:dyDescent="0.25">
      <c r="B2770" s="3"/>
    </row>
    <row r="2771" spans="2:2" x14ac:dyDescent="0.25">
      <c r="B2771" s="3"/>
    </row>
    <row r="2772" spans="2:2" x14ac:dyDescent="0.25">
      <c r="B2772" s="3"/>
    </row>
    <row r="2773" spans="2:2" x14ac:dyDescent="0.25">
      <c r="B2773" s="3"/>
    </row>
    <row r="2774" spans="2:2" x14ac:dyDescent="0.25">
      <c r="B2774" s="3"/>
    </row>
    <row r="2775" spans="2:2" x14ac:dyDescent="0.25">
      <c r="B2775" s="3"/>
    </row>
    <row r="2776" spans="2:2" x14ac:dyDescent="0.25">
      <c r="B2776" s="3"/>
    </row>
    <row r="2777" spans="2:2" x14ac:dyDescent="0.25">
      <c r="B2777" s="3"/>
    </row>
    <row r="2778" spans="2:2" x14ac:dyDescent="0.25">
      <c r="B2778" s="3"/>
    </row>
    <row r="2779" spans="2:2" x14ac:dyDescent="0.25">
      <c r="B2779" s="3"/>
    </row>
    <row r="2780" spans="2:2" x14ac:dyDescent="0.25">
      <c r="B2780" s="3"/>
    </row>
    <row r="2781" spans="2:2" x14ac:dyDescent="0.25">
      <c r="B2781" s="3"/>
    </row>
    <row r="2782" spans="2:2" x14ac:dyDescent="0.25">
      <c r="B2782" s="3"/>
    </row>
    <row r="2783" spans="2:2" x14ac:dyDescent="0.25">
      <c r="B2783" s="3"/>
    </row>
    <row r="2784" spans="2:2" x14ac:dyDescent="0.25">
      <c r="B2784" s="3"/>
    </row>
    <row r="2785" spans="2:2" x14ac:dyDescent="0.25">
      <c r="B2785" s="3"/>
    </row>
    <row r="2786" spans="2:2" x14ac:dyDescent="0.25">
      <c r="B2786" s="3"/>
    </row>
    <row r="2787" spans="2:2" x14ac:dyDescent="0.25">
      <c r="B2787" s="3"/>
    </row>
    <row r="2788" spans="2:2" x14ac:dyDescent="0.25">
      <c r="B2788" s="3"/>
    </row>
    <row r="2789" spans="2:2" x14ac:dyDescent="0.25">
      <c r="B2789" s="3"/>
    </row>
    <row r="2790" spans="2:2" x14ac:dyDescent="0.25">
      <c r="B2790" s="3"/>
    </row>
    <row r="2791" spans="2:2" x14ac:dyDescent="0.25">
      <c r="B2791" s="3"/>
    </row>
    <row r="2792" spans="2:2" x14ac:dyDescent="0.25">
      <c r="B2792" s="3"/>
    </row>
    <row r="2793" spans="2:2" x14ac:dyDescent="0.25">
      <c r="B2793" s="3"/>
    </row>
    <row r="2794" spans="2:2" x14ac:dyDescent="0.25">
      <c r="B2794" s="3"/>
    </row>
    <row r="2795" spans="2:2" x14ac:dyDescent="0.25">
      <c r="B2795" s="3"/>
    </row>
    <row r="2796" spans="2:2" x14ac:dyDescent="0.25">
      <c r="B2796" s="3"/>
    </row>
    <row r="2797" spans="2:2" x14ac:dyDescent="0.25">
      <c r="B2797" s="3"/>
    </row>
    <row r="2798" spans="2:2" x14ac:dyDescent="0.25">
      <c r="B2798" s="3"/>
    </row>
    <row r="2799" spans="2:2" x14ac:dyDescent="0.25">
      <c r="B2799" s="3"/>
    </row>
    <row r="2800" spans="2:2" x14ac:dyDescent="0.25">
      <c r="B2800" s="3"/>
    </row>
    <row r="2801" spans="2:2" x14ac:dyDescent="0.25">
      <c r="B2801" s="3"/>
    </row>
    <row r="2802" spans="2:2" x14ac:dyDescent="0.25">
      <c r="B2802" s="3"/>
    </row>
    <row r="2803" spans="2:2" x14ac:dyDescent="0.25">
      <c r="B2803" s="3"/>
    </row>
    <row r="2804" spans="2:2" x14ac:dyDescent="0.25">
      <c r="B2804" s="3"/>
    </row>
    <row r="2805" spans="2:2" x14ac:dyDescent="0.25">
      <c r="B2805" s="3"/>
    </row>
    <row r="2806" spans="2:2" x14ac:dyDescent="0.25">
      <c r="B2806" s="3"/>
    </row>
    <row r="2807" spans="2:2" x14ac:dyDescent="0.25">
      <c r="B2807" s="3"/>
    </row>
    <row r="2808" spans="2:2" x14ac:dyDescent="0.25">
      <c r="B2808" s="3"/>
    </row>
    <row r="2809" spans="2:2" x14ac:dyDescent="0.25">
      <c r="B2809" s="3"/>
    </row>
    <row r="2810" spans="2:2" x14ac:dyDescent="0.25">
      <c r="B2810" s="3"/>
    </row>
    <row r="2811" spans="2:2" x14ac:dyDescent="0.25">
      <c r="B2811" s="3"/>
    </row>
    <row r="2812" spans="2:2" x14ac:dyDescent="0.25">
      <c r="B2812" s="3"/>
    </row>
    <row r="2813" spans="2:2" x14ac:dyDescent="0.25">
      <c r="B2813" s="3"/>
    </row>
    <row r="2814" spans="2:2" x14ac:dyDescent="0.25">
      <c r="B2814" s="3"/>
    </row>
    <row r="2815" spans="2:2" x14ac:dyDescent="0.25">
      <c r="B2815" s="3"/>
    </row>
    <row r="2816" spans="2:2" x14ac:dyDescent="0.25">
      <c r="B2816" s="3"/>
    </row>
    <row r="2817" spans="2:2" x14ac:dyDescent="0.25">
      <c r="B2817" s="3"/>
    </row>
    <row r="2818" spans="2:2" x14ac:dyDescent="0.25">
      <c r="B2818" s="3"/>
    </row>
    <row r="2819" spans="2:2" x14ac:dyDescent="0.25">
      <c r="B2819" s="3"/>
    </row>
    <row r="2820" spans="2:2" x14ac:dyDescent="0.25">
      <c r="B2820" s="3"/>
    </row>
    <row r="2821" spans="2:2" x14ac:dyDescent="0.25">
      <c r="B2821" s="3"/>
    </row>
    <row r="2822" spans="2:2" x14ac:dyDescent="0.25">
      <c r="B2822" s="3"/>
    </row>
    <row r="2823" spans="2:2" x14ac:dyDescent="0.25">
      <c r="B2823" s="3"/>
    </row>
    <row r="2824" spans="2:2" x14ac:dyDescent="0.25">
      <c r="B2824" s="3"/>
    </row>
    <row r="2825" spans="2:2" x14ac:dyDescent="0.25">
      <c r="B2825" s="3"/>
    </row>
    <row r="2826" spans="2:2" x14ac:dyDescent="0.25">
      <c r="B2826" s="3"/>
    </row>
    <row r="2827" spans="2:2" x14ac:dyDescent="0.25">
      <c r="B2827" s="3"/>
    </row>
    <row r="2828" spans="2:2" x14ac:dyDescent="0.25">
      <c r="B2828" s="3"/>
    </row>
    <row r="2829" spans="2:2" x14ac:dyDescent="0.25">
      <c r="B2829" s="3"/>
    </row>
    <row r="2830" spans="2:2" x14ac:dyDescent="0.25">
      <c r="B2830" s="3"/>
    </row>
    <row r="2831" spans="2:2" x14ac:dyDescent="0.25">
      <c r="B2831" s="3"/>
    </row>
    <row r="2832" spans="2:2" x14ac:dyDescent="0.25">
      <c r="B2832" s="3"/>
    </row>
    <row r="2833" spans="2:2" x14ac:dyDescent="0.25">
      <c r="B2833" s="3"/>
    </row>
    <row r="2834" spans="2:2" x14ac:dyDescent="0.25">
      <c r="B2834" s="3"/>
    </row>
    <row r="2835" spans="2:2" x14ac:dyDescent="0.25">
      <c r="B2835" s="3"/>
    </row>
    <row r="2836" spans="2:2" x14ac:dyDescent="0.25">
      <c r="B2836" s="3"/>
    </row>
    <row r="2837" spans="2:2" x14ac:dyDescent="0.25">
      <c r="B2837" s="3"/>
    </row>
    <row r="2838" spans="2:2" x14ac:dyDescent="0.25">
      <c r="B2838" s="3"/>
    </row>
    <row r="2839" spans="2:2" x14ac:dyDescent="0.25">
      <c r="B2839" s="3"/>
    </row>
    <row r="2840" spans="2:2" x14ac:dyDescent="0.25">
      <c r="B2840" s="3"/>
    </row>
    <row r="2841" spans="2:2" x14ac:dyDescent="0.25">
      <c r="B2841" s="3"/>
    </row>
    <row r="2842" spans="2:2" x14ac:dyDescent="0.25">
      <c r="B2842" s="3"/>
    </row>
    <row r="2843" spans="2:2" x14ac:dyDescent="0.25">
      <c r="B2843" s="3"/>
    </row>
    <row r="2844" spans="2:2" x14ac:dyDescent="0.25">
      <c r="B2844" s="3"/>
    </row>
    <row r="2845" spans="2:2" x14ac:dyDescent="0.25">
      <c r="B2845" s="3"/>
    </row>
    <row r="2846" spans="2:2" x14ac:dyDescent="0.25">
      <c r="B2846" s="3"/>
    </row>
    <row r="2847" spans="2:2" x14ac:dyDescent="0.25">
      <c r="B2847" s="3"/>
    </row>
    <row r="2848" spans="2:2" x14ac:dyDescent="0.25">
      <c r="B2848" s="3"/>
    </row>
    <row r="2849" spans="2:2" x14ac:dyDescent="0.25">
      <c r="B2849" s="3"/>
    </row>
    <row r="2850" spans="2:2" x14ac:dyDescent="0.25">
      <c r="B2850" s="3"/>
    </row>
    <row r="2851" spans="2:2" x14ac:dyDescent="0.25">
      <c r="B2851" s="3"/>
    </row>
    <row r="2852" spans="2:2" x14ac:dyDescent="0.25">
      <c r="B2852" s="3"/>
    </row>
    <row r="2853" spans="2:2" x14ac:dyDescent="0.25">
      <c r="B2853" s="3"/>
    </row>
    <row r="2854" spans="2:2" x14ac:dyDescent="0.25">
      <c r="B2854" s="3"/>
    </row>
    <row r="2855" spans="2:2" x14ac:dyDescent="0.25">
      <c r="B2855" s="3"/>
    </row>
    <row r="2856" spans="2:2" x14ac:dyDescent="0.25">
      <c r="B2856" s="3"/>
    </row>
    <row r="2857" spans="2:2" x14ac:dyDescent="0.25">
      <c r="B2857" s="3"/>
    </row>
    <row r="2858" spans="2:2" x14ac:dyDescent="0.25">
      <c r="B2858" s="3"/>
    </row>
    <row r="2859" spans="2:2" x14ac:dyDescent="0.25">
      <c r="B2859" s="3"/>
    </row>
    <row r="2860" spans="2:2" x14ac:dyDescent="0.25">
      <c r="B2860" s="3"/>
    </row>
    <row r="2861" spans="2:2" x14ac:dyDescent="0.25">
      <c r="B2861" s="3"/>
    </row>
    <row r="2862" spans="2:2" x14ac:dyDescent="0.25">
      <c r="B2862" s="3"/>
    </row>
    <row r="2863" spans="2:2" x14ac:dyDescent="0.25">
      <c r="B2863" s="3"/>
    </row>
    <row r="2864" spans="2:2" x14ac:dyDescent="0.25">
      <c r="B2864" s="3"/>
    </row>
    <row r="2865" spans="2:2" x14ac:dyDescent="0.25">
      <c r="B2865" s="3"/>
    </row>
    <row r="2866" spans="2:2" x14ac:dyDescent="0.25">
      <c r="B2866" s="3"/>
    </row>
    <row r="2867" spans="2:2" x14ac:dyDescent="0.25">
      <c r="B2867" s="3"/>
    </row>
    <row r="2868" spans="2:2" x14ac:dyDescent="0.25">
      <c r="B2868" s="3"/>
    </row>
    <row r="2869" spans="2:2" x14ac:dyDescent="0.25">
      <c r="B2869" s="3"/>
    </row>
    <row r="2870" spans="2:2" x14ac:dyDescent="0.25">
      <c r="B2870" s="3"/>
    </row>
    <row r="2871" spans="2:2" x14ac:dyDescent="0.25">
      <c r="B2871" s="3"/>
    </row>
    <row r="2872" spans="2:2" x14ac:dyDescent="0.25">
      <c r="B2872" s="3"/>
    </row>
    <row r="2873" spans="2:2" x14ac:dyDescent="0.25">
      <c r="B2873" s="3"/>
    </row>
    <row r="2874" spans="2:2" x14ac:dyDescent="0.25">
      <c r="B2874" s="3"/>
    </row>
    <row r="2875" spans="2:2" x14ac:dyDescent="0.25">
      <c r="B2875" s="3"/>
    </row>
    <row r="2876" spans="2:2" x14ac:dyDescent="0.25">
      <c r="B2876" s="3"/>
    </row>
    <row r="2877" spans="2:2" x14ac:dyDescent="0.25">
      <c r="B2877" s="3"/>
    </row>
    <row r="2878" spans="2:2" x14ac:dyDescent="0.25">
      <c r="B2878" s="3"/>
    </row>
    <row r="2879" spans="2:2" x14ac:dyDescent="0.25">
      <c r="B2879" s="3"/>
    </row>
    <row r="2880" spans="2:2" x14ac:dyDescent="0.25">
      <c r="B2880" s="3"/>
    </row>
    <row r="2881" spans="2:2" x14ac:dyDescent="0.25">
      <c r="B2881" s="3"/>
    </row>
    <row r="2882" spans="2:2" x14ac:dyDescent="0.25">
      <c r="B2882" s="3"/>
    </row>
    <row r="2883" spans="2:2" x14ac:dyDescent="0.25">
      <c r="B2883" s="3"/>
    </row>
    <row r="2884" spans="2:2" x14ac:dyDescent="0.25">
      <c r="B2884" s="3"/>
    </row>
    <row r="2885" spans="2:2" x14ac:dyDescent="0.25">
      <c r="B2885" s="3"/>
    </row>
    <row r="2886" spans="2:2" x14ac:dyDescent="0.25">
      <c r="B2886" s="3"/>
    </row>
    <row r="2887" spans="2:2" x14ac:dyDescent="0.25">
      <c r="B2887" s="3"/>
    </row>
    <row r="2888" spans="2:2" x14ac:dyDescent="0.25">
      <c r="B2888" s="3"/>
    </row>
    <row r="2889" spans="2:2" x14ac:dyDescent="0.25">
      <c r="B2889" s="3"/>
    </row>
    <row r="2890" spans="2:2" x14ac:dyDescent="0.25">
      <c r="B2890" s="3"/>
    </row>
    <row r="2891" spans="2:2" x14ac:dyDescent="0.25">
      <c r="B2891" s="3"/>
    </row>
    <row r="2892" spans="2:2" x14ac:dyDescent="0.25">
      <c r="B2892" s="3"/>
    </row>
    <row r="2893" spans="2:2" x14ac:dyDescent="0.25">
      <c r="B2893" s="3"/>
    </row>
    <row r="2894" spans="2:2" x14ac:dyDescent="0.25">
      <c r="B2894" s="3"/>
    </row>
    <row r="2895" spans="2:2" x14ac:dyDescent="0.25">
      <c r="B2895" s="3"/>
    </row>
    <row r="2896" spans="2:2" x14ac:dyDescent="0.25">
      <c r="B2896" s="3"/>
    </row>
    <row r="2897" spans="2:2" x14ac:dyDescent="0.25">
      <c r="B2897" s="3"/>
    </row>
    <row r="2898" spans="2:2" x14ac:dyDescent="0.25">
      <c r="B2898" s="3"/>
    </row>
    <row r="2899" spans="2:2" x14ac:dyDescent="0.25">
      <c r="B2899" s="3"/>
    </row>
    <row r="2900" spans="2:2" x14ac:dyDescent="0.25">
      <c r="B2900" s="3"/>
    </row>
    <row r="2901" spans="2:2" x14ac:dyDescent="0.25">
      <c r="B2901" s="3"/>
    </row>
    <row r="2902" spans="2:2" x14ac:dyDescent="0.25">
      <c r="B2902" s="3"/>
    </row>
    <row r="2903" spans="2:2" x14ac:dyDescent="0.25">
      <c r="B2903" s="3"/>
    </row>
    <row r="2904" spans="2:2" x14ac:dyDescent="0.25">
      <c r="B2904" s="3"/>
    </row>
    <row r="2905" spans="2:2" x14ac:dyDescent="0.25">
      <c r="B2905" s="3"/>
    </row>
    <row r="2906" spans="2:2" x14ac:dyDescent="0.25">
      <c r="B2906" s="3"/>
    </row>
    <row r="2907" spans="2:2" x14ac:dyDescent="0.25">
      <c r="B2907" s="3"/>
    </row>
    <row r="2908" spans="2:2" x14ac:dyDescent="0.25">
      <c r="B2908" s="3"/>
    </row>
    <row r="2909" spans="2:2" x14ac:dyDescent="0.25">
      <c r="B2909" s="3"/>
    </row>
    <row r="2910" spans="2:2" x14ac:dyDescent="0.25">
      <c r="B2910" s="3"/>
    </row>
    <row r="2911" spans="2:2" x14ac:dyDescent="0.25">
      <c r="B2911" s="3"/>
    </row>
    <row r="2912" spans="2:2" x14ac:dyDescent="0.25">
      <c r="B2912" s="3"/>
    </row>
    <row r="2913" spans="2:2" x14ac:dyDescent="0.25">
      <c r="B2913" s="3"/>
    </row>
    <row r="2914" spans="2:2" x14ac:dyDescent="0.25">
      <c r="B2914" s="3"/>
    </row>
    <row r="2915" spans="2:2" x14ac:dyDescent="0.25">
      <c r="B2915" s="3"/>
    </row>
    <row r="2916" spans="2:2" x14ac:dyDescent="0.25">
      <c r="B2916" s="3"/>
    </row>
    <row r="2917" spans="2:2" x14ac:dyDescent="0.25">
      <c r="B2917" s="3"/>
    </row>
    <row r="2918" spans="2:2" x14ac:dyDescent="0.25">
      <c r="B2918" s="3"/>
    </row>
    <row r="2919" spans="2:2" x14ac:dyDescent="0.25">
      <c r="B2919" s="3"/>
    </row>
    <row r="2920" spans="2:2" x14ac:dyDescent="0.25">
      <c r="B2920" s="3"/>
    </row>
    <row r="2921" spans="2:2" x14ac:dyDescent="0.25">
      <c r="B2921" s="3"/>
    </row>
    <row r="2922" spans="2:2" x14ac:dyDescent="0.25">
      <c r="B2922" s="3"/>
    </row>
    <row r="2923" spans="2:2" x14ac:dyDescent="0.25">
      <c r="B2923" s="3"/>
    </row>
    <row r="2924" spans="2:2" x14ac:dyDescent="0.25">
      <c r="B2924" s="3"/>
    </row>
    <row r="2925" spans="2:2" x14ac:dyDescent="0.25">
      <c r="B2925" s="3"/>
    </row>
    <row r="2926" spans="2:2" x14ac:dyDescent="0.25">
      <c r="B2926" s="3"/>
    </row>
    <row r="2927" spans="2:2" x14ac:dyDescent="0.25">
      <c r="B2927" s="3"/>
    </row>
    <row r="2928" spans="2:2" x14ac:dyDescent="0.25">
      <c r="B2928" s="3"/>
    </row>
    <row r="2929" spans="2:2" x14ac:dyDescent="0.25">
      <c r="B2929" s="3"/>
    </row>
    <row r="2930" spans="2:2" x14ac:dyDescent="0.25">
      <c r="B2930" s="3"/>
    </row>
    <row r="2931" spans="2:2" x14ac:dyDescent="0.25">
      <c r="B2931" s="3"/>
    </row>
    <row r="2932" spans="2:2" x14ac:dyDescent="0.25">
      <c r="B2932" s="3"/>
    </row>
    <row r="2933" spans="2:2" x14ac:dyDescent="0.25">
      <c r="B2933" s="3"/>
    </row>
    <row r="2934" spans="2:2" x14ac:dyDescent="0.25">
      <c r="B2934" s="3"/>
    </row>
    <row r="2935" spans="2:2" x14ac:dyDescent="0.25">
      <c r="B2935" s="3"/>
    </row>
    <row r="2936" spans="2:2" x14ac:dyDescent="0.25">
      <c r="B2936" s="3"/>
    </row>
    <row r="2937" spans="2:2" x14ac:dyDescent="0.25">
      <c r="B2937" s="3"/>
    </row>
    <row r="2938" spans="2:2" x14ac:dyDescent="0.25">
      <c r="B2938" s="3"/>
    </row>
    <row r="2939" spans="2:2" x14ac:dyDescent="0.25">
      <c r="B2939" s="3"/>
    </row>
    <row r="2940" spans="2:2" x14ac:dyDescent="0.25">
      <c r="B2940" s="3"/>
    </row>
    <row r="2941" spans="2:2" x14ac:dyDescent="0.25">
      <c r="B2941" s="3"/>
    </row>
    <row r="2942" spans="2:2" x14ac:dyDescent="0.25">
      <c r="B2942" s="3"/>
    </row>
    <row r="2943" spans="2:2" x14ac:dyDescent="0.25">
      <c r="B2943" s="3"/>
    </row>
    <row r="2944" spans="2:2" x14ac:dyDescent="0.25">
      <c r="B2944" s="3"/>
    </row>
    <row r="2945" spans="2:2" x14ac:dyDescent="0.25">
      <c r="B2945" s="3"/>
    </row>
    <row r="2946" spans="2:2" x14ac:dyDescent="0.25">
      <c r="B2946" s="3"/>
    </row>
    <row r="2947" spans="2:2" x14ac:dyDescent="0.25">
      <c r="B2947" s="3"/>
    </row>
    <row r="2948" spans="2:2" x14ac:dyDescent="0.25">
      <c r="B2948" s="3"/>
    </row>
    <row r="2949" spans="2:2" x14ac:dyDescent="0.25">
      <c r="B2949" s="3"/>
    </row>
    <row r="2950" spans="2:2" x14ac:dyDescent="0.25">
      <c r="B2950" s="3"/>
    </row>
    <row r="2951" spans="2:2" x14ac:dyDescent="0.25">
      <c r="B2951" s="3"/>
    </row>
    <row r="2952" spans="2:2" x14ac:dyDescent="0.25">
      <c r="B2952" s="3"/>
    </row>
    <row r="2953" spans="2:2" x14ac:dyDescent="0.25">
      <c r="B2953" s="3"/>
    </row>
    <row r="2954" spans="2:2" x14ac:dyDescent="0.25">
      <c r="B2954" s="3"/>
    </row>
    <row r="2955" spans="2:2" x14ac:dyDescent="0.25">
      <c r="B2955" s="3"/>
    </row>
    <row r="2956" spans="2:2" x14ac:dyDescent="0.25">
      <c r="B2956" s="3"/>
    </row>
    <row r="2957" spans="2:2" x14ac:dyDescent="0.25">
      <c r="B2957" s="3"/>
    </row>
    <row r="2958" spans="2:2" x14ac:dyDescent="0.25">
      <c r="B2958" s="3"/>
    </row>
    <row r="2959" spans="2:2" x14ac:dyDescent="0.25">
      <c r="B2959" s="3"/>
    </row>
    <row r="2960" spans="2:2" x14ac:dyDescent="0.25">
      <c r="B2960" s="3"/>
    </row>
    <row r="2961" spans="2:2" x14ac:dyDescent="0.25">
      <c r="B2961" s="3"/>
    </row>
    <row r="2962" spans="2:2" x14ac:dyDescent="0.25">
      <c r="B2962" s="3"/>
    </row>
    <row r="2963" spans="2:2" x14ac:dyDescent="0.25">
      <c r="B2963" s="3"/>
    </row>
    <row r="2964" spans="2:2" x14ac:dyDescent="0.25">
      <c r="B2964" s="3"/>
    </row>
    <row r="2965" spans="2:2" x14ac:dyDescent="0.25">
      <c r="B2965" s="3"/>
    </row>
    <row r="2966" spans="2:2" x14ac:dyDescent="0.25">
      <c r="B2966" s="3"/>
    </row>
    <row r="2967" spans="2:2" x14ac:dyDescent="0.25">
      <c r="B2967" s="3"/>
    </row>
    <row r="2968" spans="2:2" x14ac:dyDescent="0.25">
      <c r="B2968" s="3"/>
    </row>
    <row r="2969" spans="2:2" x14ac:dyDescent="0.25">
      <c r="B2969" s="3"/>
    </row>
    <row r="2970" spans="2:2" x14ac:dyDescent="0.25">
      <c r="B2970" s="3"/>
    </row>
    <row r="2971" spans="2:2" x14ac:dyDescent="0.25">
      <c r="B2971" s="3"/>
    </row>
    <row r="2972" spans="2:2" x14ac:dyDescent="0.25">
      <c r="B2972" s="3"/>
    </row>
    <row r="2973" spans="2:2" x14ac:dyDescent="0.25">
      <c r="B2973" s="3"/>
    </row>
    <row r="2974" spans="2:2" x14ac:dyDescent="0.25">
      <c r="B2974" s="3"/>
    </row>
    <row r="2975" spans="2:2" x14ac:dyDescent="0.25">
      <c r="B2975" s="3"/>
    </row>
    <row r="2976" spans="2:2" x14ac:dyDescent="0.25">
      <c r="B2976" s="3"/>
    </row>
    <row r="2977" spans="2:2" x14ac:dyDescent="0.25">
      <c r="B2977" s="3"/>
    </row>
    <row r="2978" spans="2:2" x14ac:dyDescent="0.25">
      <c r="B2978" s="3"/>
    </row>
    <row r="2979" spans="2:2" x14ac:dyDescent="0.25">
      <c r="B2979" s="3"/>
    </row>
    <row r="2980" spans="2:2" x14ac:dyDescent="0.25">
      <c r="B2980" s="3"/>
    </row>
    <row r="2981" spans="2:2" x14ac:dyDescent="0.25">
      <c r="B2981" s="3"/>
    </row>
    <row r="2982" spans="2:2" x14ac:dyDescent="0.25">
      <c r="B2982" s="3"/>
    </row>
    <row r="2983" spans="2:2" x14ac:dyDescent="0.25">
      <c r="B2983" s="3"/>
    </row>
    <row r="2984" spans="2:2" x14ac:dyDescent="0.25">
      <c r="B2984" s="3"/>
    </row>
    <row r="2985" spans="2:2" x14ac:dyDescent="0.25">
      <c r="B2985" s="3"/>
    </row>
    <row r="2986" spans="2:2" x14ac:dyDescent="0.25">
      <c r="B2986" s="3"/>
    </row>
    <row r="2987" spans="2:2" x14ac:dyDescent="0.25">
      <c r="B2987" s="3"/>
    </row>
    <row r="2988" spans="2:2" x14ac:dyDescent="0.25">
      <c r="B2988" s="3"/>
    </row>
    <row r="2989" spans="2:2" x14ac:dyDescent="0.25">
      <c r="B2989" s="3"/>
    </row>
    <row r="2990" spans="2:2" x14ac:dyDescent="0.25">
      <c r="B2990" s="3"/>
    </row>
    <row r="2991" spans="2:2" x14ac:dyDescent="0.25">
      <c r="B2991" s="3"/>
    </row>
    <row r="2992" spans="2:2" x14ac:dyDescent="0.25">
      <c r="B2992" s="3"/>
    </row>
    <row r="2993" spans="2:2" x14ac:dyDescent="0.25">
      <c r="B2993" s="3"/>
    </row>
    <row r="2994" spans="2:2" x14ac:dyDescent="0.25">
      <c r="B2994" s="3"/>
    </row>
    <row r="2995" spans="2:2" x14ac:dyDescent="0.25">
      <c r="B2995" s="3"/>
    </row>
    <row r="2996" spans="2:2" x14ac:dyDescent="0.25">
      <c r="B2996" s="3"/>
    </row>
    <row r="2997" spans="2:2" x14ac:dyDescent="0.25">
      <c r="B2997" s="3"/>
    </row>
    <row r="2998" spans="2:2" x14ac:dyDescent="0.25">
      <c r="B2998" s="3"/>
    </row>
    <row r="2999" spans="2:2" x14ac:dyDescent="0.25">
      <c r="B2999" s="3"/>
    </row>
    <row r="3000" spans="2:2" x14ac:dyDescent="0.25">
      <c r="B3000" s="3"/>
    </row>
    <row r="3001" spans="2:2" x14ac:dyDescent="0.25">
      <c r="B3001" s="3"/>
    </row>
    <row r="3002" spans="2:2" x14ac:dyDescent="0.25">
      <c r="B3002" s="3"/>
    </row>
    <row r="3003" spans="2:2" x14ac:dyDescent="0.25">
      <c r="B3003" s="3"/>
    </row>
    <row r="3004" spans="2:2" x14ac:dyDescent="0.25">
      <c r="B3004" s="3"/>
    </row>
    <row r="3005" spans="2:2" x14ac:dyDescent="0.25">
      <c r="B3005" s="3"/>
    </row>
    <row r="3006" spans="2:2" x14ac:dyDescent="0.25">
      <c r="B3006" s="3"/>
    </row>
    <row r="3007" spans="2:2" x14ac:dyDescent="0.25">
      <c r="B3007" s="3"/>
    </row>
    <row r="3008" spans="2:2" x14ac:dyDescent="0.25">
      <c r="B3008" s="3"/>
    </row>
    <row r="3009" spans="2:2" x14ac:dyDescent="0.25">
      <c r="B3009" s="3"/>
    </row>
    <row r="3010" spans="2:2" x14ac:dyDescent="0.25">
      <c r="B3010" s="3"/>
    </row>
    <row r="3011" spans="2:2" x14ac:dyDescent="0.25">
      <c r="B3011" s="3"/>
    </row>
    <row r="3012" spans="2:2" x14ac:dyDescent="0.25">
      <c r="B3012" s="3"/>
    </row>
    <row r="3013" spans="2:2" x14ac:dyDescent="0.25">
      <c r="B3013" s="3"/>
    </row>
    <row r="3014" spans="2:2" x14ac:dyDescent="0.25">
      <c r="B3014" s="3"/>
    </row>
    <row r="3015" spans="2:2" x14ac:dyDescent="0.25">
      <c r="B3015" s="3"/>
    </row>
    <row r="3016" spans="2:2" x14ac:dyDescent="0.25">
      <c r="B3016" s="3"/>
    </row>
    <row r="3017" spans="2:2" x14ac:dyDescent="0.25">
      <c r="B3017" s="3"/>
    </row>
    <row r="3018" spans="2:2" x14ac:dyDescent="0.25">
      <c r="B3018" s="3"/>
    </row>
    <row r="3019" spans="2:2" x14ac:dyDescent="0.25">
      <c r="B3019" s="3"/>
    </row>
    <row r="3020" spans="2:2" x14ac:dyDescent="0.25">
      <c r="B3020" s="3"/>
    </row>
    <row r="3021" spans="2:2" x14ac:dyDescent="0.25">
      <c r="B3021" s="3"/>
    </row>
    <row r="3022" spans="2:2" x14ac:dyDescent="0.25">
      <c r="B3022" s="3"/>
    </row>
    <row r="3023" spans="2:2" x14ac:dyDescent="0.25">
      <c r="B3023" s="3"/>
    </row>
    <row r="3024" spans="2:2" x14ac:dyDescent="0.25">
      <c r="B3024" s="3"/>
    </row>
    <row r="3025" spans="2:2" x14ac:dyDescent="0.25">
      <c r="B3025" s="3"/>
    </row>
    <row r="3026" spans="2:2" x14ac:dyDescent="0.25">
      <c r="B3026" s="3"/>
    </row>
    <row r="3027" spans="2:2" x14ac:dyDescent="0.25">
      <c r="B3027" s="3"/>
    </row>
    <row r="3028" spans="2:2" x14ac:dyDescent="0.25">
      <c r="B3028" s="3"/>
    </row>
    <row r="3029" spans="2:2" x14ac:dyDescent="0.25">
      <c r="B3029" s="3"/>
    </row>
    <row r="3030" spans="2:2" x14ac:dyDescent="0.25">
      <c r="B3030" s="3"/>
    </row>
    <row r="3031" spans="2:2" x14ac:dyDescent="0.25">
      <c r="B3031" s="3"/>
    </row>
    <row r="3032" spans="2:2" x14ac:dyDescent="0.25">
      <c r="B3032" s="3"/>
    </row>
    <row r="3033" spans="2:2" x14ac:dyDescent="0.25">
      <c r="B3033" s="3"/>
    </row>
    <row r="3034" spans="2:2" x14ac:dyDescent="0.25">
      <c r="B3034" s="3"/>
    </row>
    <row r="3035" spans="2:2" x14ac:dyDescent="0.25">
      <c r="B3035" s="3"/>
    </row>
    <row r="3036" spans="2:2" x14ac:dyDescent="0.25">
      <c r="B3036" s="3"/>
    </row>
    <row r="3037" spans="2:2" x14ac:dyDescent="0.25">
      <c r="B3037" s="3"/>
    </row>
    <row r="3038" spans="2:2" x14ac:dyDescent="0.25">
      <c r="B3038" s="3"/>
    </row>
    <row r="3039" spans="2:2" x14ac:dyDescent="0.25">
      <c r="B3039" s="3"/>
    </row>
    <row r="3040" spans="2:2" x14ac:dyDescent="0.25">
      <c r="B3040" s="3"/>
    </row>
    <row r="3041" spans="2:2" x14ac:dyDescent="0.25">
      <c r="B3041" s="3"/>
    </row>
    <row r="3042" spans="2:2" x14ac:dyDescent="0.25">
      <c r="B3042" s="3"/>
    </row>
    <row r="3043" spans="2:2" x14ac:dyDescent="0.25">
      <c r="B3043" s="3"/>
    </row>
    <row r="3044" spans="2:2" x14ac:dyDescent="0.25">
      <c r="B3044" s="3"/>
    </row>
    <row r="3045" spans="2:2" x14ac:dyDescent="0.25">
      <c r="B3045" s="3"/>
    </row>
    <row r="3046" spans="2:2" x14ac:dyDescent="0.25">
      <c r="B3046" s="3"/>
    </row>
    <row r="3047" spans="2:2" x14ac:dyDescent="0.25">
      <c r="B3047" s="3"/>
    </row>
    <row r="3048" spans="2:2" x14ac:dyDescent="0.25">
      <c r="B3048" s="3"/>
    </row>
    <row r="3049" spans="2:2" x14ac:dyDescent="0.25">
      <c r="B3049" s="3"/>
    </row>
    <row r="3050" spans="2:2" x14ac:dyDescent="0.25">
      <c r="B3050" s="3"/>
    </row>
    <row r="3051" spans="2:2" x14ac:dyDescent="0.25">
      <c r="B3051" s="3"/>
    </row>
    <row r="3052" spans="2:2" x14ac:dyDescent="0.25">
      <c r="B3052" s="3"/>
    </row>
    <row r="3053" spans="2:2" x14ac:dyDescent="0.25">
      <c r="B3053" s="3"/>
    </row>
    <row r="3054" spans="2:2" x14ac:dyDescent="0.25">
      <c r="B3054" s="3"/>
    </row>
    <row r="3055" spans="2:2" x14ac:dyDescent="0.25">
      <c r="B3055" s="3"/>
    </row>
    <row r="3056" spans="2:2" x14ac:dyDescent="0.25">
      <c r="B3056" s="3"/>
    </row>
    <row r="3057" spans="2:2" x14ac:dyDescent="0.25">
      <c r="B3057" s="3"/>
    </row>
    <row r="3058" spans="2:2" x14ac:dyDescent="0.25">
      <c r="B3058" s="3"/>
    </row>
    <row r="3059" spans="2:2" x14ac:dyDescent="0.25">
      <c r="B3059" s="3"/>
    </row>
    <row r="3060" spans="2:2" x14ac:dyDescent="0.25">
      <c r="B3060" s="3"/>
    </row>
    <row r="3061" spans="2:2" x14ac:dyDescent="0.25">
      <c r="B3061" s="3"/>
    </row>
    <row r="3062" spans="2:2" x14ac:dyDescent="0.25">
      <c r="B3062" s="3"/>
    </row>
    <row r="3063" spans="2:2" x14ac:dyDescent="0.25">
      <c r="B3063" s="3"/>
    </row>
    <row r="3064" spans="2:2" x14ac:dyDescent="0.25">
      <c r="B3064" s="3"/>
    </row>
    <row r="3065" spans="2:2" x14ac:dyDescent="0.25">
      <c r="B3065" s="3"/>
    </row>
    <row r="3066" spans="2:2" x14ac:dyDescent="0.25">
      <c r="B3066" s="3"/>
    </row>
    <row r="3067" spans="2:2" x14ac:dyDescent="0.25">
      <c r="B3067" s="3"/>
    </row>
    <row r="3068" spans="2:2" x14ac:dyDescent="0.25">
      <c r="B3068" s="3"/>
    </row>
    <row r="3069" spans="2:2" x14ac:dyDescent="0.25">
      <c r="B3069" s="3"/>
    </row>
    <row r="3070" spans="2:2" x14ac:dyDescent="0.25">
      <c r="B3070" s="3"/>
    </row>
    <row r="3071" spans="2:2" x14ac:dyDescent="0.25">
      <c r="B3071" s="3"/>
    </row>
    <row r="3072" spans="2:2" x14ac:dyDescent="0.25">
      <c r="B3072" s="3"/>
    </row>
    <row r="3073" spans="2:2" x14ac:dyDescent="0.25">
      <c r="B3073" s="3"/>
    </row>
    <row r="3074" spans="2:2" x14ac:dyDescent="0.25">
      <c r="B3074" s="3"/>
    </row>
    <row r="3075" spans="2:2" x14ac:dyDescent="0.25">
      <c r="B3075" s="3"/>
    </row>
    <row r="3076" spans="2:2" x14ac:dyDescent="0.25">
      <c r="B3076" s="3"/>
    </row>
    <row r="3077" spans="2:2" x14ac:dyDescent="0.25">
      <c r="B3077" s="3"/>
    </row>
    <row r="3078" spans="2:2" x14ac:dyDescent="0.25">
      <c r="B3078" s="3"/>
    </row>
    <row r="3079" spans="2:2" x14ac:dyDescent="0.25">
      <c r="B3079" s="3"/>
    </row>
    <row r="3080" spans="2:2" x14ac:dyDescent="0.25">
      <c r="B3080" s="3"/>
    </row>
    <row r="3081" spans="2:2" x14ac:dyDescent="0.25">
      <c r="B3081" s="3"/>
    </row>
    <row r="3082" spans="2:2" x14ac:dyDescent="0.25">
      <c r="B3082" s="3"/>
    </row>
    <row r="3083" spans="2:2" x14ac:dyDescent="0.25">
      <c r="B3083" s="3"/>
    </row>
    <row r="3084" spans="2:2" x14ac:dyDescent="0.25">
      <c r="B3084" s="3"/>
    </row>
    <row r="3085" spans="2:2" x14ac:dyDescent="0.25">
      <c r="B3085" s="3"/>
    </row>
    <row r="3086" spans="2:2" x14ac:dyDescent="0.25">
      <c r="B3086" s="3"/>
    </row>
    <row r="3087" spans="2:2" x14ac:dyDescent="0.25">
      <c r="B3087" s="3"/>
    </row>
    <row r="3088" spans="2:2" x14ac:dyDescent="0.25">
      <c r="B3088" s="3"/>
    </row>
    <row r="3089" spans="2:2" x14ac:dyDescent="0.25">
      <c r="B3089" s="3"/>
    </row>
    <row r="3090" spans="2:2" x14ac:dyDescent="0.25">
      <c r="B3090" s="3"/>
    </row>
    <row r="3091" spans="2:2" x14ac:dyDescent="0.25">
      <c r="B3091" s="3"/>
    </row>
    <row r="3092" spans="2:2" x14ac:dyDescent="0.25">
      <c r="B3092" s="3"/>
    </row>
    <row r="3093" spans="2:2" x14ac:dyDescent="0.25">
      <c r="B3093" s="3"/>
    </row>
    <row r="3094" spans="2:2" x14ac:dyDescent="0.25">
      <c r="B3094" s="3"/>
    </row>
    <row r="3095" spans="2:2" x14ac:dyDescent="0.25">
      <c r="B3095" s="3"/>
    </row>
    <row r="3096" spans="2:2" x14ac:dyDescent="0.25">
      <c r="B3096" s="3"/>
    </row>
    <row r="3097" spans="2:2" x14ac:dyDescent="0.25">
      <c r="B3097" s="3"/>
    </row>
    <row r="3098" spans="2:2" x14ac:dyDescent="0.25">
      <c r="B3098" s="3"/>
    </row>
    <row r="3099" spans="2:2" x14ac:dyDescent="0.25">
      <c r="B3099" s="3"/>
    </row>
    <row r="3100" spans="2:2" x14ac:dyDescent="0.25">
      <c r="B3100" s="3"/>
    </row>
    <row r="3101" spans="2:2" x14ac:dyDescent="0.25">
      <c r="B3101" s="3"/>
    </row>
    <row r="3102" spans="2:2" x14ac:dyDescent="0.25">
      <c r="B3102" s="3"/>
    </row>
    <row r="3103" spans="2:2" x14ac:dyDescent="0.25">
      <c r="B3103" s="3"/>
    </row>
    <row r="3104" spans="2:2" x14ac:dyDescent="0.25">
      <c r="B3104" s="3"/>
    </row>
    <row r="3105" spans="2:2" x14ac:dyDescent="0.25">
      <c r="B3105" s="3"/>
    </row>
    <row r="3106" spans="2:2" x14ac:dyDescent="0.25">
      <c r="B3106" s="3"/>
    </row>
    <row r="3107" spans="2:2" x14ac:dyDescent="0.25">
      <c r="B3107" s="3"/>
    </row>
    <row r="3108" spans="2:2" x14ac:dyDescent="0.25">
      <c r="B3108" s="3"/>
    </row>
    <row r="3109" spans="2:2" x14ac:dyDescent="0.25">
      <c r="B3109" s="3"/>
    </row>
    <row r="3110" spans="2:2" x14ac:dyDescent="0.25">
      <c r="B3110" s="3"/>
    </row>
    <row r="3111" spans="2:2" x14ac:dyDescent="0.25">
      <c r="B3111" s="3"/>
    </row>
    <row r="3112" spans="2:2" x14ac:dyDescent="0.25">
      <c r="B3112" s="3"/>
    </row>
    <row r="3113" spans="2:2" x14ac:dyDescent="0.25">
      <c r="B3113" s="3"/>
    </row>
    <row r="3114" spans="2:2" x14ac:dyDescent="0.25">
      <c r="B3114" s="3"/>
    </row>
    <row r="3115" spans="2:2" x14ac:dyDescent="0.25">
      <c r="B3115" s="3"/>
    </row>
    <row r="3116" spans="2:2" x14ac:dyDescent="0.25">
      <c r="B3116" s="3"/>
    </row>
    <row r="3117" spans="2:2" x14ac:dyDescent="0.25">
      <c r="B3117" s="3"/>
    </row>
    <row r="3118" spans="2:2" x14ac:dyDescent="0.25">
      <c r="B3118" s="3"/>
    </row>
    <row r="3119" spans="2:2" x14ac:dyDescent="0.25">
      <c r="B3119" s="3"/>
    </row>
    <row r="3120" spans="2:2" x14ac:dyDescent="0.25">
      <c r="B3120" s="3"/>
    </row>
    <row r="3121" spans="2:2" x14ac:dyDescent="0.25">
      <c r="B3121" s="3"/>
    </row>
    <row r="3122" spans="2:2" x14ac:dyDescent="0.25">
      <c r="B3122" s="3"/>
    </row>
    <row r="3123" spans="2:2" x14ac:dyDescent="0.25">
      <c r="B3123" s="3"/>
    </row>
    <row r="3124" spans="2:2" x14ac:dyDescent="0.25">
      <c r="B3124" s="3"/>
    </row>
    <row r="3125" spans="2:2" x14ac:dyDescent="0.25">
      <c r="B3125" s="3"/>
    </row>
    <row r="3126" spans="2:2" x14ac:dyDescent="0.25">
      <c r="B3126" s="3"/>
    </row>
    <row r="3127" spans="2:2" x14ac:dyDescent="0.25">
      <c r="B3127" s="3"/>
    </row>
    <row r="3128" spans="2:2" x14ac:dyDescent="0.25">
      <c r="B3128" s="3"/>
    </row>
    <row r="3129" spans="2:2" x14ac:dyDescent="0.25">
      <c r="B3129" s="3"/>
    </row>
    <row r="3130" spans="2:2" x14ac:dyDescent="0.25">
      <c r="B3130" s="3"/>
    </row>
    <row r="3131" spans="2:2" x14ac:dyDescent="0.25">
      <c r="B3131" s="3"/>
    </row>
    <row r="3132" spans="2:2" x14ac:dyDescent="0.25">
      <c r="B3132" s="3"/>
    </row>
    <row r="3133" spans="2:2" x14ac:dyDescent="0.25">
      <c r="B3133" s="3"/>
    </row>
    <row r="3134" spans="2:2" x14ac:dyDescent="0.25">
      <c r="B3134" s="3"/>
    </row>
    <row r="3135" spans="2:2" x14ac:dyDescent="0.25">
      <c r="B3135" s="3"/>
    </row>
    <row r="3136" spans="2:2" x14ac:dyDescent="0.25">
      <c r="B3136" s="3"/>
    </row>
    <row r="3137" spans="2:2" x14ac:dyDescent="0.25">
      <c r="B3137" s="3"/>
    </row>
    <row r="3138" spans="2:2" x14ac:dyDescent="0.25">
      <c r="B3138" s="3"/>
    </row>
    <row r="3139" spans="2:2" x14ac:dyDescent="0.25">
      <c r="B3139" s="3"/>
    </row>
    <row r="3140" spans="2:2" x14ac:dyDescent="0.25">
      <c r="B3140" s="3"/>
    </row>
    <row r="3141" spans="2:2" x14ac:dyDescent="0.25">
      <c r="B3141" s="3"/>
    </row>
    <row r="3142" spans="2:2" x14ac:dyDescent="0.25">
      <c r="B3142" s="3"/>
    </row>
    <row r="3143" spans="2:2" x14ac:dyDescent="0.25">
      <c r="B3143" s="3"/>
    </row>
    <row r="3144" spans="2:2" x14ac:dyDescent="0.25">
      <c r="B3144" s="3"/>
    </row>
    <row r="3145" spans="2:2" x14ac:dyDescent="0.25">
      <c r="B3145" s="3"/>
    </row>
    <row r="3146" spans="2:2" x14ac:dyDescent="0.25">
      <c r="B3146" s="3"/>
    </row>
    <row r="3147" spans="2:2" x14ac:dyDescent="0.25">
      <c r="B3147" s="3"/>
    </row>
    <row r="3148" spans="2:2" x14ac:dyDescent="0.25">
      <c r="B3148" s="3"/>
    </row>
    <row r="3149" spans="2:2" x14ac:dyDescent="0.25">
      <c r="B3149" s="3"/>
    </row>
    <row r="3150" spans="2:2" x14ac:dyDescent="0.25">
      <c r="B3150" s="3"/>
    </row>
    <row r="3151" spans="2:2" x14ac:dyDescent="0.25">
      <c r="B3151" s="3"/>
    </row>
    <row r="3152" spans="2:2" x14ac:dyDescent="0.25">
      <c r="B3152" s="3"/>
    </row>
    <row r="3153" spans="2:2" x14ac:dyDescent="0.25">
      <c r="B3153" s="3"/>
    </row>
    <row r="3154" spans="2:2" x14ac:dyDescent="0.25">
      <c r="B3154" s="3"/>
    </row>
    <row r="3155" spans="2:2" x14ac:dyDescent="0.25">
      <c r="B3155" s="3"/>
    </row>
    <row r="3156" spans="2:2" x14ac:dyDescent="0.25">
      <c r="B3156" s="3"/>
    </row>
    <row r="3157" spans="2:2" x14ac:dyDescent="0.25">
      <c r="B3157" s="3"/>
    </row>
    <row r="3158" spans="2:2" x14ac:dyDescent="0.25">
      <c r="B3158" s="3"/>
    </row>
    <row r="3159" spans="2:2" x14ac:dyDescent="0.25">
      <c r="B3159" s="3"/>
    </row>
    <row r="3160" spans="2:2" x14ac:dyDescent="0.25">
      <c r="B3160" s="3"/>
    </row>
    <row r="3161" spans="2:2" x14ac:dyDescent="0.25">
      <c r="B3161" s="3"/>
    </row>
    <row r="3162" spans="2:2" x14ac:dyDescent="0.25">
      <c r="B3162" s="3"/>
    </row>
    <row r="3163" spans="2:2" x14ac:dyDescent="0.25">
      <c r="B3163" s="3"/>
    </row>
    <row r="3164" spans="2:2" x14ac:dyDescent="0.25">
      <c r="B3164" s="3"/>
    </row>
    <row r="3165" spans="2:2" x14ac:dyDescent="0.25">
      <c r="B3165" s="3"/>
    </row>
    <row r="3166" spans="2:2" x14ac:dyDescent="0.25">
      <c r="B3166" s="3"/>
    </row>
    <row r="3167" spans="2:2" x14ac:dyDescent="0.25">
      <c r="B3167" s="3"/>
    </row>
    <row r="3168" spans="2:2" x14ac:dyDescent="0.25">
      <c r="B3168" s="3"/>
    </row>
    <row r="3169" spans="2:2" x14ac:dyDescent="0.25">
      <c r="B3169" s="3"/>
    </row>
    <row r="3170" spans="2:2" x14ac:dyDescent="0.25">
      <c r="B3170" s="3"/>
    </row>
    <row r="3171" spans="2:2" x14ac:dyDescent="0.25">
      <c r="B3171" s="3"/>
    </row>
    <row r="3172" spans="2:2" x14ac:dyDescent="0.25">
      <c r="B3172" s="3"/>
    </row>
    <row r="3173" spans="2:2" x14ac:dyDescent="0.25">
      <c r="B3173" s="3"/>
    </row>
    <row r="3174" spans="2:2" x14ac:dyDescent="0.25">
      <c r="B3174" s="3"/>
    </row>
    <row r="3175" spans="2:2" x14ac:dyDescent="0.25">
      <c r="B3175" s="3"/>
    </row>
    <row r="3176" spans="2:2" x14ac:dyDescent="0.25">
      <c r="B3176" s="3"/>
    </row>
    <row r="3177" spans="2:2" x14ac:dyDescent="0.25">
      <c r="B3177" s="3"/>
    </row>
    <row r="3178" spans="2:2" x14ac:dyDescent="0.25">
      <c r="B3178" s="3"/>
    </row>
    <row r="3179" spans="2:2" x14ac:dyDescent="0.25">
      <c r="B3179" s="3"/>
    </row>
    <row r="3180" spans="2:2" x14ac:dyDescent="0.25">
      <c r="B3180" s="3"/>
    </row>
    <row r="3181" spans="2:2" x14ac:dyDescent="0.25">
      <c r="B3181" s="3"/>
    </row>
    <row r="3182" spans="2:2" x14ac:dyDescent="0.25">
      <c r="B3182" s="3"/>
    </row>
    <row r="3183" spans="2:2" x14ac:dyDescent="0.25">
      <c r="B3183" s="3"/>
    </row>
    <row r="3184" spans="2:2" x14ac:dyDescent="0.25">
      <c r="B3184" s="3"/>
    </row>
    <row r="3185" spans="2:2" x14ac:dyDescent="0.25">
      <c r="B3185" s="3"/>
    </row>
    <row r="3186" spans="2:2" x14ac:dyDescent="0.25">
      <c r="B3186" s="3"/>
    </row>
    <row r="3187" spans="2:2" x14ac:dyDescent="0.25">
      <c r="B3187" s="3"/>
    </row>
    <row r="3188" spans="2:2" x14ac:dyDescent="0.25">
      <c r="B3188" s="3"/>
    </row>
    <row r="3189" spans="2:2" x14ac:dyDescent="0.25">
      <c r="B3189" s="3"/>
    </row>
    <row r="3190" spans="2:2" x14ac:dyDescent="0.25">
      <c r="B3190" s="3"/>
    </row>
    <row r="3191" spans="2:2" x14ac:dyDescent="0.25">
      <c r="B3191" s="3"/>
    </row>
    <row r="3192" spans="2:2" x14ac:dyDescent="0.25">
      <c r="B3192" s="3"/>
    </row>
    <row r="3193" spans="2:2" x14ac:dyDescent="0.25">
      <c r="B3193" s="3"/>
    </row>
    <row r="3194" spans="2:2" x14ac:dyDescent="0.25">
      <c r="B3194" s="3"/>
    </row>
    <row r="3195" spans="2:2" x14ac:dyDescent="0.25">
      <c r="B3195" s="3"/>
    </row>
    <row r="3196" spans="2:2" x14ac:dyDescent="0.25">
      <c r="B3196" s="3"/>
    </row>
    <row r="3197" spans="2:2" x14ac:dyDescent="0.25">
      <c r="B3197" s="3"/>
    </row>
    <row r="3198" spans="2:2" x14ac:dyDescent="0.25">
      <c r="B3198" s="3"/>
    </row>
    <row r="3199" spans="2:2" x14ac:dyDescent="0.25">
      <c r="B3199" s="3"/>
    </row>
    <row r="3200" spans="2:2" x14ac:dyDescent="0.25">
      <c r="B3200" s="3"/>
    </row>
    <row r="3201" spans="2:2" x14ac:dyDescent="0.25">
      <c r="B3201" s="3"/>
    </row>
    <row r="3202" spans="2:2" x14ac:dyDescent="0.25">
      <c r="B3202" s="3"/>
    </row>
    <row r="3203" spans="2:2" x14ac:dyDescent="0.25">
      <c r="B3203" s="3"/>
    </row>
    <row r="3204" spans="2:2" x14ac:dyDescent="0.25">
      <c r="B3204" s="3"/>
    </row>
    <row r="3205" spans="2:2" x14ac:dyDescent="0.25">
      <c r="B3205" s="3"/>
    </row>
    <row r="3206" spans="2:2" x14ac:dyDescent="0.25">
      <c r="B3206" s="3"/>
    </row>
    <row r="3207" spans="2:2" x14ac:dyDescent="0.25">
      <c r="B3207" s="3"/>
    </row>
    <row r="3208" spans="2:2" x14ac:dyDescent="0.25">
      <c r="B3208" s="3"/>
    </row>
    <row r="3209" spans="2:2" x14ac:dyDescent="0.25">
      <c r="B3209" s="3"/>
    </row>
    <row r="3210" spans="2:2" x14ac:dyDescent="0.25">
      <c r="B3210" s="3"/>
    </row>
    <row r="3211" spans="2:2" x14ac:dyDescent="0.25">
      <c r="B3211" s="3"/>
    </row>
    <row r="3212" spans="2:2" x14ac:dyDescent="0.25">
      <c r="B3212" s="3"/>
    </row>
    <row r="3213" spans="2:2" x14ac:dyDescent="0.25">
      <c r="B3213" s="3"/>
    </row>
    <row r="3214" spans="2:2" x14ac:dyDescent="0.25">
      <c r="B3214" s="3"/>
    </row>
    <row r="3215" spans="2:2" x14ac:dyDescent="0.25">
      <c r="B3215" s="3"/>
    </row>
    <row r="3216" spans="2:2" x14ac:dyDescent="0.25">
      <c r="B3216" s="3"/>
    </row>
    <row r="3217" spans="2:2" x14ac:dyDescent="0.25">
      <c r="B3217" s="3"/>
    </row>
    <row r="3218" spans="2:2" x14ac:dyDescent="0.25">
      <c r="B3218" s="3"/>
    </row>
    <row r="3219" spans="2:2" x14ac:dyDescent="0.25">
      <c r="B3219" s="3"/>
    </row>
    <row r="3220" spans="2:2" x14ac:dyDescent="0.25">
      <c r="B3220" s="3"/>
    </row>
    <row r="3221" spans="2:2" x14ac:dyDescent="0.25">
      <c r="B3221" s="3"/>
    </row>
    <row r="3222" spans="2:2" x14ac:dyDescent="0.25">
      <c r="B3222" s="3"/>
    </row>
    <row r="3223" spans="2:2" x14ac:dyDescent="0.25">
      <c r="B3223" s="3"/>
    </row>
    <row r="3224" spans="2:2" x14ac:dyDescent="0.25">
      <c r="B3224" s="3"/>
    </row>
    <row r="3225" spans="2:2" x14ac:dyDescent="0.25">
      <c r="B3225" s="3"/>
    </row>
    <row r="3226" spans="2:2" x14ac:dyDescent="0.25">
      <c r="B3226" s="3"/>
    </row>
    <row r="3227" spans="2:2" x14ac:dyDescent="0.25">
      <c r="B3227" s="3"/>
    </row>
    <row r="3228" spans="2:2" x14ac:dyDescent="0.25">
      <c r="B3228" s="3"/>
    </row>
    <row r="3229" spans="2:2" x14ac:dyDescent="0.25">
      <c r="B3229" s="3"/>
    </row>
    <row r="3230" spans="2:2" x14ac:dyDescent="0.25">
      <c r="B3230" s="3"/>
    </row>
    <row r="3231" spans="2:2" x14ac:dyDescent="0.25">
      <c r="B3231" s="3"/>
    </row>
    <row r="3232" spans="2:2" x14ac:dyDescent="0.25">
      <c r="B3232" s="3"/>
    </row>
    <row r="3233" spans="2:2" x14ac:dyDescent="0.25">
      <c r="B3233" s="3"/>
    </row>
    <row r="3234" spans="2:2" x14ac:dyDescent="0.25">
      <c r="B3234" s="3"/>
    </row>
    <row r="3235" spans="2:2" x14ac:dyDescent="0.25">
      <c r="B3235" s="3"/>
    </row>
    <row r="3236" spans="2:2" x14ac:dyDescent="0.25">
      <c r="B3236" s="3"/>
    </row>
    <row r="3237" spans="2:2" x14ac:dyDescent="0.25">
      <c r="B3237" s="3"/>
    </row>
    <row r="3238" spans="2:2" x14ac:dyDescent="0.25">
      <c r="B3238" s="3"/>
    </row>
    <row r="3239" spans="2:2" x14ac:dyDescent="0.25">
      <c r="B3239" s="3"/>
    </row>
    <row r="3240" spans="2:2" x14ac:dyDescent="0.25">
      <c r="B3240" s="3"/>
    </row>
    <row r="3241" spans="2:2" x14ac:dyDescent="0.25">
      <c r="B3241" s="3"/>
    </row>
    <row r="3242" spans="2:2" x14ac:dyDescent="0.25">
      <c r="B3242" s="3"/>
    </row>
    <row r="3243" spans="2:2" x14ac:dyDescent="0.25">
      <c r="B3243" s="3"/>
    </row>
    <row r="3244" spans="2:2" x14ac:dyDescent="0.25">
      <c r="B3244" s="3"/>
    </row>
    <row r="3245" spans="2:2" x14ac:dyDescent="0.25">
      <c r="B3245" s="3"/>
    </row>
    <row r="3246" spans="2:2" x14ac:dyDescent="0.25">
      <c r="B3246" s="3"/>
    </row>
    <row r="3247" spans="2:2" x14ac:dyDescent="0.25">
      <c r="B3247" s="3"/>
    </row>
    <row r="3248" spans="2:2" x14ac:dyDescent="0.25">
      <c r="B3248" s="3"/>
    </row>
    <row r="3249" spans="2:2" x14ac:dyDescent="0.25">
      <c r="B3249" s="3"/>
    </row>
    <row r="3250" spans="2:2" x14ac:dyDescent="0.25">
      <c r="B3250" s="3"/>
    </row>
    <row r="3251" spans="2:2" x14ac:dyDescent="0.25">
      <c r="B3251" s="3"/>
    </row>
    <row r="3252" spans="2:2" x14ac:dyDescent="0.25">
      <c r="B3252" s="3"/>
    </row>
    <row r="3253" spans="2:2" x14ac:dyDescent="0.25">
      <c r="B3253" s="3"/>
    </row>
    <row r="3254" spans="2:2" x14ac:dyDescent="0.25">
      <c r="B3254" s="3"/>
    </row>
    <row r="3255" spans="2:2" x14ac:dyDescent="0.25">
      <c r="B3255" s="3"/>
    </row>
    <row r="3256" spans="2:2" x14ac:dyDescent="0.25">
      <c r="B3256" s="3"/>
    </row>
    <row r="3257" spans="2:2" x14ac:dyDescent="0.25">
      <c r="B3257" s="3"/>
    </row>
    <row r="3258" spans="2:2" x14ac:dyDescent="0.25">
      <c r="B3258" s="3"/>
    </row>
    <row r="3259" spans="2:2" x14ac:dyDescent="0.25">
      <c r="B3259" s="3"/>
    </row>
    <row r="3260" spans="2:2" x14ac:dyDescent="0.25">
      <c r="B3260" s="3"/>
    </row>
    <row r="3261" spans="2:2" x14ac:dyDescent="0.25">
      <c r="B3261" s="3"/>
    </row>
    <row r="3262" spans="2:2" x14ac:dyDescent="0.25">
      <c r="B3262" s="3"/>
    </row>
    <row r="3263" spans="2:2" x14ac:dyDescent="0.25">
      <c r="B3263" s="3"/>
    </row>
    <row r="3264" spans="2:2" x14ac:dyDescent="0.25">
      <c r="B3264" s="3"/>
    </row>
    <row r="3265" spans="2:2" x14ac:dyDescent="0.25">
      <c r="B3265" s="3"/>
    </row>
    <row r="3266" spans="2:2" x14ac:dyDescent="0.25">
      <c r="B3266" s="3"/>
    </row>
    <row r="3267" spans="2:2" x14ac:dyDescent="0.25">
      <c r="B3267" s="3"/>
    </row>
    <row r="3268" spans="2:2" x14ac:dyDescent="0.25">
      <c r="B3268" s="3"/>
    </row>
    <row r="3269" spans="2:2" x14ac:dyDescent="0.25">
      <c r="B3269" s="3"/>
    </row>
    <row r="3270" spans="2:2" x14ac:dyDescent="0.25">
      <c r="B3270" s="3"/>
    </row>
    <row r="3271" spans="2:2" x14ac:dyDescent="0.25">
      <c r="B3271" s="3"/>
    </row>
    <row r="3272" spans="2:2" x14ac:dyDescent="0.25">
      <c r="B3272" s="3"/>
    </row>
    <row r="3273" spans="2:2" x14ac:dyDescent="0.25">
      <c r="B3273" s="3"/>
    </row>
    <row r="3274" spans="2:2" x14ac:dyDescent="0.25">
      <c r="B3274" s="3"/>
    </row>
    <row r="3275" spans="2:2" x14ac:dyDescent="0.25">
      <c r="B3275" s="3"/>
    </row>
    <row r="3276" spans="2:2" x14ac:dyDescent="0.25">
      <c r="B3276" s="3"/>
    </row>
    <row r="3277" spans="2:2" x14ac:dyDescent="0.25">
      <c r="B3277" s="3"/>
    </row>
    <row r="3278" spans="2:2" x14ac:dyDescent="0.25">
      <c r="B3278" s="3"/>
    </row>
    <row r="3279" spans="2:2" x14ac:dyDescent="0.25">
      <c r="B3279" s="3"/>
    </row>
    <row r="3280" spans="2:2" x14ac:dyDescent="0.25">
      <c r="B3280" s="3"/>
    </row>
    <row r="3281" spans="2:2" x14ac:dyDescent="0.25">
      <c r="B3281" s="3"/>
    </row>
    <row r="3282" spans="2:2" x14ac:dyDescent="0.25">
      <c r="B3282" s="3"/>
    </row>
    <row r="3283" spans="2:2" x14ac:dyDescent="0.25">
      <c r="B3283" s="3"/>
    </row>
    <row r="3284" spans="2:2" x14ac:dyDescent="0.25">
      <c r="B3284" s="3"/>
    </row>
    <row r="3285" spans="2:2" x14ac:dyDescent="0.25">
      <c r="B3285" s="3"/>
    </row>
    <row r="3286" spans="2:2" x14ac:dyDescent="0.25">
      <c r="B3286" s="3"/>
    </row>
    <row r="3287" spans="2:2" x14ac:dyDescent="0.25">
      <c r="B3287" s="3"/>
    </row>
    <row r="3288" spans="2:2" x14ac:dyDescent="0.25">
      <c r="B3288" s="3"/>
    </row>
    <row r="3289" spans="2:2" x14ac:dyDescent="0.25">
      <c r="B3289" s="3"/>
    </row>
    <row r="3290" spans="2:2" x14ac:dyDescent="0.25">
      <c r="B3290" s="3"/>
    </row>
    <row r="3291" spans="2:2" x14ac:dyDescent="0.25">
      <c r="B3291" s="3"/>
    </row>
    <row r="3292" spans="2:2" x14ac:dyDescent="0.25">
      <c r="B3292" s="3"/>
    </row>
    <row r="3293" spans="2:2" x14ac:dyDescent="0.25">
      <c r="B3293" s="3"/>
    </row>
    <row r="3294" spans="2:2" x14ac:dyDescent="0.25">
      <c r="B3294" s="3"/>
    </row>
    <row r="3295" spans="2:2" x14ac:dyDescent="0.25">
      <c r="B3295" s="3"/>
    </row>
    <row r="3296" spans="2:2" x14ac:dyDescent="0.25">
      <c r="B3296" s="3"/>
    </row>
    <row r="3297" spans="2:2" x14ac:dyDescent="0.25">
      <c r="B3297" s="3"/>
    </row>
    <row r="3298" spans="2:2" x14ac:dyDescent="0.25">
      <c r="B3298" s="3"/>
    </row>
    <row r="3299" spans="2:2" x14ac:dyDescent="0.25">
      <c r="B3299" s="3"/>
    </row>
    <row r="3300" spans="2:2" x14ac:dyDescent="0.25">
      <c r="B3300" s="3"/>
    </row>
    <row r="3301" spans="2:2" x14ac:dyDescent="0.25">
      <c r="B3301" s="3"/>
    </row>
    <row r="3302" spans="2:2" x14ac:dyDescent="0.25">
      <c r="B3302" s="3"/>
    </row>
    <row r="3303" spans="2:2" x14ac:dyDescent="0.25">
      <c r="B3303" s="3"/>
    </row>
    <row r="3304" spans="2:2" x14ac:dyDescent="0.25">
      <c r="B3304" s="3"/>
    </row>
    <row r="3305" spans="2:2" x14ac:dyDescent="0.25">
      <c r="B3305" s="3"/>
    </row>
    <row r="3306" spans="2:2" x14ac:dyDescent="0.25">
      <c r="B3306" s="3"/>
    </row>
    <row r="3307" spans="2:2" x14ac:dyDescent="0.25">
      <c r="B3307" s="3"/>
    </row>
    <row r="3308" spans="2:2" x14ac:dyDescent="0.25">
      <c r="B3308" s="3"/>
    </row>
    <row r="3309" spans="2:2" x14ac:dyDescent="0.25">
      <c r="B3309" s="3"/>
    </row>
    <row r="3310" spans="2:2" x14ac:dyDescent="0.25">
      <c r="B3310" s="3"/>
    </row>
    <row r="3311" spans="2:2" x14ac:dyDescent="0.25">
      <c r="B3311" s="3"/>
    </row>
    <row r="3312" spans="2:2" x14ac:dyDescent="0.25">
      <c r="B3312" s="3"/>
    </row>
    <row r="3313" spans="2:2" x14ac:dyDescent="0.25">
      <c r="B3313" s="3"/>
    </row>
    <row r="3314" spans="2:2" x14ac:dyDescent="0.25">
      <c r="B3314" s="3"/>
    </row>
    <row r="3315" spans="2:2" x14ac:dyDescent="0.25">
      <c r="B3315" s="3"/>
    </row>
    <row r="3316" spans="2:2" x14ac:dyDescent="0.25">
      <c r="B3316" s="3"/>
    </row>
    <row r="3317" spans="2:2" x14ac:dyDescent="0.25">
      <c r="B3317" s="3"/>
    </row>
    <row r="3318" spans="2:2" x14ac:dyDescent="0.25">
      <c r="B3318" s="3"/>
    </row>
    <row r="3319" spans="2:2" x14ac:dyDescent="0.25">
      <c r="B3319" s="3"/>
    </row>
    <row r="3320" spans="2:2" x14ac:dyDescent="0.25">
      <c r="B3320" s="3"/>
    </row>
    <row r="3321" spans="2:2" x14ac:dyDescent="0.25">
      <c r="B3321" s="3"/>
    </row>
    <row r="3322" spans="2:2" x14ac:dyDescent="0.25">
      <c r="B3322" s="3"/>
    </row>
    <row r="3323" spans="2:2" x14ac:dyDescent="0.25">
      <c r="B3323" s="3"/>
    </row>
    <row r="3324" spans="2:2" x14ac:dyDescent="0.25">
      <c r="B3324" s="3"/>
    </row>
    <row r="3325" spans="2:2" x14ac:dyDescent="0.25">
      <c r="B3325" s="3"/>
    </row>
    <row r="3326" spans="2:2" x14ac:dyDescent="0.25">
      <c r="B3326" s="3"/>
    </row>
    <row r="3327" spans="2:2" x14ac:dyDescent="0.25">
      <c r="B3327" s="3"/>
    </row>
    <row r="3328" spans="2:2" x14ac:dyDescent="0.25">
      <c r="B3328" s="3"/>
    </row>
    <row r="3329" spans="2:2" x14ac:dyDescent="0.25">
      <c r="B3329" s="3"/>
    </row>
    <row r="3330" spans="2:2" x14ac:dyDescent="0.25">
      <c r="B3330" s="3"/>
    </row>
    <row r="3331" spans="2:2" x14ac:dyDescent="0.25">
      <c r="B3331" s="3"/>
    </row>
    <row r="3332" spans="2:2" x14ac:dyDescent="0.25">
      <c r="B3332" s="3"/>
    </row>
    <row r="3333" spans="2:2" x14ac:dyDescent="0.25">
      <c r="B3333" s="3"/>
    </row>
    <row r="3334" spans="2:2" x14ac:dyDescent="0.25">
      <c r="B3334" s="3"/>
    </row>
    <row r="3335" spans="2:2" x14ac:dyDescent="0.25">
      <c r="B3335" s="3"/>
    </row>
    <row r="3336" spans="2:2" x14ac:dyDescent="0.25">
      <c r="B3336" s="3"/>
    </row>
    <row r="3337" spans="2:2" x14ac:dyDescent="0.25">
      <c r="B3337" s="3"/>
    </row>
    <row r="3338" spans="2:2" x14ac:dyDescent="0.25">
      <c r="B3338" s="3"/>
    </row>
    <row r="3339" spans="2:2" x14ac:dyDescent="0.25">
      <c r="B3339" s="3"/>
    </row>
    <row r="3340" spans="2:2" x14ac:dyDescent="0.25">
      <c r="B3340" s="3"/>
    </row>
    <row r="3341" spans="2:2" x14ac:dyDescent="0.25">
      <c r="B3341" s="3"/>
    </row>
    <row r="3342" spans="2:2" x14ac:dyDescent="0.25">
      <c r="B3342" s="3"/>
    </row>
    <row r="3343" spans="2:2" x14ac:dyDescent="0.25">
      <c r="B3343" s="3"/>
    </row>
    <row r="3344" spans="2:2" x14ac:dyDescent="0.25">
      <c r="B3344" s="3"/>
    </row>
    <row r="3345" spans="2:2" x14ac:dyDescent="0.25">
      <c r="B3345" s="3"/>
    </row>
    <row r="3346" spans="2:2" x14ac:dyDescent="0.25">
      <c r="B3346" s="3"/>
    </row>
    <row r="3347" spans="2:2" x14ac:dyDescent="0.25">
      <c r="B3347" s="3"/>
    </row>
    <row r="3348" spans="2:2" x14ac:dyDescent="0.25">
      <c r="B3348" s="3"/>
    </row>
    <row r="3349" spans="2:2" x14ac:dyDescent="0.25">
      <c r="B3349" s="3"/>
    </row>
    <row r="3350" spans="2:2" x14ac:dyDescent="0.25">
      <c r="B3350" s="3"/>
    </row>
    <row r="3351" spans="2:2" x14ac:dyDescent="0.25">
      <c r="B3351" s="3"/>
    </row>
    <row r="3352" spans="2:2" x14ac:dyDescent="0.25">
      <c r="B3352" s="3"/>
    </row>
    <row r="3353" spans="2:2" x14ac:dyDescent="0.25">
      <c r="B3353" s="3"/>
    </row>
    <row r="3354" spans="2:2" x14ac:dyDescent="0.25">
      <c r="B3354" s="3"/>
    </row>
    <row r="3355" spans="2:2" x14ac:dyDescent="0.25">
      <c r="B3355" s="3"/>
    </row>
    <row r="3356" spans="2:2" x14ac:dyDescent="0.25">
      <c r="B3356" s="3"/>
    </row>
    <row r="3357" spans="2:2" x14ac:dyDescent="0.25">
      <c r="B3357" s="3"/>
    </row>
    <row r="3358" spans="2:2" x14ac:dyDescent="0.25">
      <c r="B3358" s="3"/>
    </row>
    <row r="3359" spans="2:2" x14ac:dyDescent="0.25">
      <c r="B3359" s="3"/>
    </row>
    <row r="3360" spans="2:2" x14ac:dyDescent="0.25">
      <c r="B3360" s="3"/>
    </row>
    <row r="3361" spans="2:2" x14ac:dyDescent="0.25">
      <c r="B3361" s="3"/>
    </row>
    <row r="3362" spans="2:2" x14ac:dyDescent="0.25">
      <c r="B3362" s="3"/>
    </row>
    <row r="3363" spans="2:2" x14ac:dyDescent="0.25">
      <c r="B3363" s="3"/>
    </row>
    <row r="3364" spans="2:2" x14ac:dyDescent="0.25">
      <c r="B3364" s="3"/>
    </row>
    <row r="3365" spans="2:2" x14ac:dyDescent="0.25">
      <c r="B3365" s="3"/>
    </row>
    <row r="3366" spans="2:2" x14ac:dyDescent="0.25">
      <c r="B3366" s="3"/>
    </row>
    <row r="3367" spans="2:2" x14ac:dyDescent="0.25">
      <c r="B3367" s="3"/>
    </row>
    <row r="3368" spans="2:2" x14ac:dyDescent="0.25">
      <c r="B3368" s="3"/>
    </row>
    <row r="3369" spans="2:2" x14ac:dyDescent="0.25">
      <c r="B3369" s="3"/>
    </row>
    <row r="3370" spans="2:2" x14ac:dyDescent="0.25">
      <c r="B3370" s="3"/>
    </row>
    <row r="3371" spans="2:2" x14ac:dyDescent="0.25">
      <c r="B3371" s="3"/>
    </row>
    <row r="3372" spans="2:2" x14ac:dyDescent="0.25">
      <c r="B3372" s="3"/>
    </row>
    <row r="3373" spans="2:2" x14ac:dyDescent="0.25">
      <c r="B3373" s="3"/>
    </row>
    <row r="3374" spans="2:2" x14ac:dyDescent="0.25">
      <c r="B3374" s="3"/>
    </row>
    <row r="3375" spans="2:2" x14ac:dyDescent="0.25">
      <c r="B3375" s="3"/>
    </row>
    <row r="3376" spans="2:2" x14ac:dyDescent="0.25">
      <c r="B3376" s="3"/>
    </row>
    <row r="3377" spans="2:2" x14ac:dyDescent="0.25">
      <c r="B3377" s="3"/>
    </row>
    <row r="3378" spans="2:2" x14ac:dyDescent="0.25">
      <c r="B3378" s="3"/>
    </row>
    <row r="3379" spans="2:2" x14ac:dyDescent="0.25">
      <c r="B3379" s="3"/>
    </row>
    <row r="3380" spans="2:2" x14ac:dyDescent="0.25">
      <c r="B3380" s="3"/>
    </row>
    <row r="3381" spans="2:2" x14ac:dyDescent="0.25">
      <c r="B3381" s="3"/>
    </row>
    <row r="3382" spans="2:2" x14ac:dyDescent="0.25">
      <c r="B3382" s="3"/>
    </row>
    <row r="3383" spans="2:2" x14ac:dyDescent="0.25">
      <c r="B3383" s="3"/>
    </row>
    <row r="3384" spans="2:2" x14ac:dyDescent="0.25">
      <c r="B3384" s="3"/>
    </row>
    <row r="3385" spans="2:2" x14ac:dyDescent="0.25">
      <c r="B3385" s="3"/>
    </row>
    <row r="3386" spans="2:2" x14ac:dyDescent="0.25">
      <c r="B3386" s="3"/>
    </row>
    <row r="3387" spans="2:2" x14ac:dyDescent="0.25">
      <c r="B3387" s="3"/>
    </row>
    <row r="3388" spans="2:2" x14ac:dyDescent="0.25">
      <c r="B3388" s="3"/>
    </row>
    <row r="3389" spans="2:2" x14ac:dyDescent="0.25">
      <c r="B3389" s="3"/>
    </row>
    <row r="3390" spans="2:2" x14ac:dyDescent="0.25">
      <c r="B3390" s="3"/>
    </row>
    <row r="3391" spans="2:2" x14ac:dyDescent="0.25">
      <c r="B3391" s="3"/>
    </row>
    <row r="3392" spans="2:2" x14ac:dyDescent="0.25">
      <c r="B3392" s="3"/>
    </row>
    <row r="3393" spans="2:2" x14ac:dyDescent="0.25">
      <c r="B3393" s="3"/>
    </row>
    <row r="3394" spans="2:2" x14ac:dyDescent="0.25">
      <c r="B3394" s="3"/>
    </row>
    <row r="3395" spans="2:2" x14ac:dyDescent="0.25">
      <c r="B3395" s="3"/>
    </row>
    <row r="3396" spans="2:2" x14ac:dyDescent="0.25">
      <c r="B3396" s="3"/>
    </row>
    <row r="3397" spans="2:2" x14ac:dyDescent="0.25">
      <c r="B3397" s="3"/>
    </row>
    <row r="3398" spans="2:2" x14ac:dyDescent="0.25">
      <c r="B3398" s="3"/>
    </row>
    <row r="3399" spans="2:2" x14ac:dyDescent="0.25">
      <c r="B3399" s="3"/>
    </row>
    <row r="3400" spans="2:2" x14ac:dyDescent="0.25">
      <c r="B3400" s="3"/>
    </row>
    <row r="3401" spans="2:2" x14ac:dyDescent="0.25">
      <c r="B3401" s="3"/>
    </row>
    <row r="3402" spans="2:2" x14ac:dyDescent="0.25">
      <c r="B3402" s="3"/>
    </row>
    <row r="3403" spans="2:2" x14ac:dyDescent="0.25">
      <c r="B3403" s="3"/>
    </row>
    <row r="3404" spans="2:2" x14ac:dyDescent="0.25">
      <c r="B3404" s="3"/>
    </row>
    <row r="3405" spans="2:2" x14ac:dyDescent="0.25">
      <c r="B3405" s="3"/>
    </row>
    <row r="3406" spans="2:2" x14ac:dyDescent="0.25">
      <c r="B3406" s="3"/>
    </row>
    <row r="3407" spans="2:2" x14ac:dyDescent="0.25">
      <c r="B3407" s="3"/>
    </row>
    <row r="3408" spans="2:2" x14ac:dyDescent="0.25">
      <c r="B3408" s="3"/>
    </row>
    <row r="3409" spans="2:2" x14ac:dyDescent="0.25">
      <c r="B3409" s="3"/>
    </row>
    <row r="3410" spans="2:2" x14ac:dyDescent="0.25">
      <c r="B3410" s="3"/>
    </row>
    <row r="3411" spans="2:2" x14ac:dyDescent="0.25">
      <c r="B3411" s="3"/>
    </row>
    <row r="3412" spans="2:2" x14ac:dyDescent="0.25">
      <c r="B3412" s="3"/>
    </row>
    <row r="3413" spans="2:2" x14ac:dyDescent="0.25">
      <c r="B3413" s="3"/>
    </row>
    <row r="3414" spans="2:2" x14ac:dyDescent="0.25">
      <c r="B3414" s="3"/>
    </row>
    <row r="3415" spans="2:2" x14ac:dyDescent="0.25">
      <c r="B3415" s="3"/>
    </row>
    <row r="3416" spans="2:2" x14ac:dyDescent="0.25">
      <c r="B3416" s="3"/>
    </row>
    <row r="3417" spans="2:2" x14ac:dyDescent="0.25">
      <c r="B3417" s="3"/>
    </row>
    <row r="3418" spans="2:2" x14ac:dyDescent="0.25">
      <c r="B3418" s="3"/>
    </row>
    <row r="3419" spans="2:2" x14ac:dyDescent="0.25">
      <c r="B3419" s="3"/>
    </row>
    <row r="3420" spans="2:2" x14ac:dyDescent="0.25">
      <c r="B3420" s="3"/>
    </row>
    <row r="3421" spans="2:2" x14ac:dyDescent="0.25">
      <c r="B3421" s="3"/>
    </row>
    <row r="3422" spans="2:2" x14ac:dyDescent="0.25">
      <c r="B3422" s="3"/>
    </row>
    <row r="3423" spans="2:2" x14ac:dyDescent="0.25">
      <c r="B3423" s="3"/>
    </row>
    <row r="3424" spans="2:2" x14ac:dyDescent="0.25">
      <c r="B3424" s="3"/>
    </row>
    <row r="3425" spans="2:2" x14ac:dyDescent="0.25">
      <c r="B3425" s="3"/>
    </row>
    <row r="3426" spans="2:2" x14ac:dyDescent="0.25">
      <c r="B3426" s="3"/>
    </row>
    <row r="3427" spans="2:2" x14ac:dyDescent="0.25">
      <c r="B3427" s="3"/>
    </row>
    <row r="3428" spans="2:2" x14ac:dyDescent="0.25">
      <c r="B3428" s="3"/>
    </row>
    <row r="3429" spans="2:2" x14ac:dyDescent="0.25">
      <c r="B3429" s="3"/>
    </row>
    <row r="3430" spans="2:2" x14ac:dyDescent="0.25">
      <c r="B3430" s="3"/>
    </row>
    <row r="3431" spans="2:2" x14ac:dyDescent="0.25">
      <c r="B3431" s="3"/>
    </row>
    <row r="3432" spans="2:2" x14ac:dyDescent="0.25">
      <c r="B3432" s="3"/>
    </row>
    <row r="3433" spans="2:2" x14ac:dyDescent="0.25">
      <c r="B3433" s="3"/>
    </row>
    <row r="3434" spans="2:2" x14ac:dyDescent="0.25">
      <c r="B3434" s="3"/>
    </row>
    <row r="3435" spans="2:2" x14ac:dyDescent="0.25">
      <c r="B3435" s="3"/>
    </row>
    <row r="3436" spans="2:2" x14ac:dyDescent="0.25">
      <c r="B3436" s="3"/>
    </row>
    <row r="3437" spans="2:2" x14ac:dyDescent="0.25">
      <c r="B3437" s="3"/>
    </row>
    <row r="3438" spans="2:2" x14ac:dyDescent="0.25">
      <c r="B3438" s="3"/>
    </row>
    <row r="3439" spans="2:2" x14ac:dyDescent="0.25">
      <c r="B3439" s="3"/>
    </row>
    <row r="3440" spans="2:2" x14ac:dyDescent="0.25">
      <c r="B3440" s="3"/>
    </row>
    <row r="3441" spans="2:2" x14ac:dyDescent="0.25">
      <c r="B3441" s="3"/>
    </row>
    <row r="3442" spans="2:2" x14ac:dyDescent="0.25">
      <c r="B3442" s="3"/>
    </row>
    <row r="3443" spans="2:2" x14ac:dyDescent="0.25">
      <c r="B3443" s="3"/>
    </row>
    <row r="3444" spans="2:2" x14ac:dyDescent="0.25">
      <c r="B3444" s="3"/>
    </row>
    <row r="3445" spans="2:2" x14ac:dyDescent="0.25">
      <c r="B3445" s="3"/>
    </row>
    <row r="3446" spans="2:2" x14ac:dyDescent="0.25">
      <c r="B3446" s="3"/>
    </row>
    <row r="3447" spans="2:2" x14ac:dyDescent="0.25">
      <c r="B3447" s="3"/>
    </row>
    <row r="3448" spans="2:2" x14ac:dyDescent="0.25">
      <c r="B3448" s="3"/>
    </row>
    <row r="3449" spans="2:2" x14ac:dyDescent="0.25">
      <c r="B3449" s="3"/>
    </row>
    <row r="3450" spans="2:2" x14ac:dyDescent="0.25">
      <c r="B3450" s="3"/>
    </row>
    <row r="3451" spans="2:2" x14ac:dyDescent="0.25">
      <c r="B3451" s="3"/>
    </row>
    <row r="3452" spans="2:2" x14ac:dyDescent="0.25">
      <c r="B3452" s="3"/>
    </row>
    <row r="3453" spans="2:2" x14ac:dyDescent="0.25">
      <c r="B3453" s="3"/>
    </row>
    <row r="3454" spans="2:2" x14ac:dyDescent="0.25">
      <c r="B3454" s="3"/>
    </row>
    <row r="3455" spans="2:2" x14ac:dyDescent="0.25">
      <c r="B3455" s="3"/>
    </row>
    <row r="3456" spans="2:2" x14ac:dyDescent="0.25">
      <c r="B3456" s="3"/>
    </row>
    <row r="3457" spans="2:2" x14ac:dyDescent="0.25">
      <c r="B3457" s="3"/>
    </row>
    <row r="3458" spans="2:2" x14ac:dyDescent="0.25">
      <c r="B3458" s="3"/>
    </row>
    <row r="3459" spans="2:2" x14ac:dyDescent="0.25">
      <c r="B3459" s="3"/>
    </row>
    <row r="3460" spans="2:2" x14ac:dyDescent="0.25">
      <c r="B3460" s="3"/>
    </row>
    <row r="3461" spans="2:2" x14ac:dyDescent="0.25">
      <c r="B3461" s="3"/>
    </row>
    <row r="3462" spans="2:2" x14ac:dyDescent="0.25">
      <c r="B3462" s="3"/>
    </row>
    <row r="3463" spans="2:2" x14ac:dyDescent="0.25">
      <c r="B3463" s="3"/>
    </row>
    <row r="3464" spans="2:2" x14ac:dyDescent="0.25">
      <c r="B3464" s="3"/>
    </row>
    <row r="3465" spans="2:2" x14ac:dyDescent="0.25">
      <c r="B3465" s="3"/>
    </row>
    <row r="3466" spans="2:2" x14ac:dyDescent="0.25">
      <c r="B3466" s="3"/>
    </row>
    <row r="3467" spans="2:2" x14ac:dyDescent="0.25">
      <c r="B3467" s="3"/>
    </row>
    <row r="3468" spans="2:2" x14ac:dyDescent="0.25">
      <c r="B3468" s="3"/>
    </row>
    <row r="3469" spans="2:2" x14ac:dyDescent="0.25">
      <c r="B3469" s="3"/>
    </row>
    <row r="3470" spans="2:2" x14ac:dyDescent="0.25">
      <c r="B3470" s="3"/>
    </row>
    <row r="3471" spans="2:2" x14ac:dyDescent="0.25">
      <c r="B3471" s="3"/>
    </row>
    <row r="3472" spans="2:2" x14ac:dyDescent="0.25">
      <c r="B3472" s="3"/>
    </row>
    <row r="3473" spans="2:2" x14ac:dyDescent="0.25">
      <c r="B3473" s="3"/>
    </row>
    <row r="3474" spans="2:2" x14ac:dyDescent="0.25">
      <c r="B3474" s="3"/>
    </row>
    <row r="3475" spans="2:2" x14ac:dyDescent="0.25">
      <c r="B3475" s="3"/>
    </row>
    <row r="3476" spans="2:2" x14ac:dyDescent="0.25">
      <c r="B3476" s="3"/>
    </row>
    <row r="3477" spans="2:2" x14ac:dyDescent="0.25">
      <c r="B3477" s="3"/>
    </row>
    <row r="3478" spans="2:2" x14ac:dyDescent="0.25">
      <c r="B3478" s="3"/>
    </row>
    <row r="3479" spans="2:2" x14ac:dyDescent="0.25">
      <c r="B3479" s="3"/>
    </row>
    <row r="3480" spans="2:2" x14ac:dyDescent="0.25">
      <c r="B3480" s="3"/>
    </row>
    <row r="3481" spans="2:2" x14ac:dyDescent="0.25">
      <c r="B3481" s="3"/>
    </row>
    <row r="3482" spans="2:2" x14ac:dyDescent="0.25">
      <c r="B3482" s="3"/>
    </row>
    <row r="3483" spans="2:2" x14ac:dyDescent="0.25">
      <c r="B3483" s="3"/>
    </row>
    <row r="3484" spans="2:2" x14ac:dyDescent="0.25">
      <c r="B3484" s="3"/>
    </row>
    <row r="3485" spans="2:2" x14ac:dyDescent="0.25">
      <c r="B3485" s="3"/>
    </row>
    <row r="3486" spans="2:2" x14ac:dyDescent="0.25">
      <c r="B3486" s="3"/>
    </row>
    <row r="3487" spans="2:2" x14ac:dyDescent="0.25">
      <c r="B3487" s="3"/>
    </row>
    <row r="3488" spans="2:2" x14ac:dyDescent="0.25">
      <c r="B3488" s="3"/>
    </row>
    <row r="3489" spans="2:2" x14ac:dyDescent="0.25">
      <c r="B3489" s="3"/>
    </row>
    <row r="3490" spans="2:2" x14ac:dyDescent="0.25">
      <c r="B3490" s="3"/>
    </row>
    <row r="3491" spans="2:2" x14ac:dyDescent="0.25">
      <c r="B3491" s="3"/>
    </row>
    <row r="3492" spans="2:2" x14ac:dyDescent="0.25">
      <c r="B3492" s="3"/>
    </row>
    <row r="3493" spans="2:2" x14ac:dyDescent="0.25">
      <c r="B3493" s="3"/>
    </row>
    <row r="3494" spans="2:2" x14ac:dyDescent="0.25">
      <c r="B3494" s="3"/>
    </row>
    <row r="3495" spans="2:2" x14ac:dyDescent="0.25">
      <c r="B3495" s="3"/>
    </row>
    <row r="3496" spans="2:2" x14ac:dyDescent="0.25">
      <c r="B3496" s="3"/>
    </row>
    <row r="3497" spans="2:2" x14ac:dyDescent="0.25">
      <c r="B3497" s="3"/>
    </row>
    <row r="3498" spans="2:2" x14ac:dyDescent="0.25">
      <c r="B3498" s="3"/>
    </row>
    <row r="3499" spans="2:2" x14ac:dyDescent="0.25">
      <c r="B3499" s="3"/>
    </row>
    <row r="3500" spans="2:2" x14ac:dyDescent="0.25">
      <c r="B3500" s="3"/>
    </row>
    <row r="3501" spans="2:2" x14ac:dyDescent="0.25">
      <c r="B3501" s="3"/>
    </row>
    <row r="3502" spans="2:2" x14ac:dyDescent="0.25">
      <c r="B3502" s="3"/>
    </row>
    <row r="3503" spans="2:2" x14ac:dyDescent="0.25">
      <c r="B3503" s="3"/>
    </row>
    <row r="3504" spans="2:2" x14ac:dyDescent="0.25">
      <c r="B3504" s="3"/>
    </row>
    <row r="3505" spans="2:2" x14ac:dyDescent="0.25">
      <c r="B3505" s="3"/>
    </row>
    <row r="3506" spans="2:2" x14ac:dyDescent="0.25">
      <c r="B3506" s="3"/>
    </row>
    <row r="3507" spans="2:2" x14ac:dyDescent="0.25">
      <c r="B3507" s="3"/>
    </row>
    <row r="3508" spans="2:2" x14ac:dyDescent="0.25">
      <c r="B3508" s="3"/>
    </row>
    <row r="3509" spans="2:2" x14ac:dyDescent="0.25">
      <c r="B3509" s="3"/>
    </row>
    <row r="3510" spans="2:2" x14ac:dyDescent="0.25">
      <c r="B3510" s="3"/>
    </row>
    <row r="3511" spans="2:2" x14ac:dyDescent="0.25">
      <c r="B3511" s="3"/>
    </row>
    <row r="3512" spans="2:2" x14ac:dyDescent="0.25">
      <c r="B3512" s="3"/>
    </row>
    <row r="3513" spans="2:2" x14ac:dyDescent="0.25">
      <c r="B3513" s="3"/>
    </row>
    <row r="3514" spans="2:2" x14ac:dyDescent="0.25">
      <c r="B3514" s="3"/>
    </row>
    <row r="3515" spans="2:2" x14ac:dyDescent="0.25">
      <c r="B3515" s="3"/>
    </row>
    <row r="3516" spans="2:2" x14ac:dyDescent="0.25">
      <c r="B3516" s="3"/>
    </row>
    <row r="3517" spans="2:2" x14ac:dyDescent="0.25">
      <c r="B3517" s="3"/>
    </row>
    <row r="3518" spans="2:2" x14ac:dyDescent="0.25">
      <c r="B3518" s="3"/>
    </row>
    <row r="3519" spans="2:2" x14ac:dyDescent="0.25">
      <c r="B3519" s="3"/>
    </row>
    <row r="3520" spans="2:2" x14ac:dyDescent="0.25">
      <c r="B3520" s="3"/>
    </row>
    <row r="3521" spans="2:2" x14ac:dyDescent="0.25">
      <c r="B3521" s="3"/>
    </row>
    <row r="3522" spans="2:2" x14ac:dyDescent="0.25">
      <c r="B3522" s="3"/>
    </row>
    <row r="3523" spans="2:2" x14ac:dyDescent="0.25">
      <c r="B3523" s="3"/>
    </row>
    <row r="3524" spans="2:2" x14ac:dyDescent="0.25">
      <c r="B3524" s="3"/>
    </row>
    <row r="3525" spans="2:2" x14ac:dyDescent="0.25">
      <c r="B3525" s="3"/>
    </row>
    <row r="3526" spans="2:2" x14ac:dyDescent="0.25">
      <c r="B3526" s="3"/>
    </row>
    <row r="3527" spans="2:2" x14ac:dyDescent="0.25">
      <c r="B3527" s="3"/>
    </row>
    <row r="3528" spans="2:2" x14ac:dyDescent="0.25">
      <c r="B3528" s="3"/>
    </row>
    <row r="3529" spans="2:2" x14ac:dyDescent="0.25">
      <c r="B3529" s="3"/>
    </row>
    <row r="3530" spans="2:2" x14ac:dyDescent="0.25">
      <c r="B3530" s="3"/>
    </row>
    <row r="3531" spans="2:2" x14ac:dyDescent="0.25">
      <c r="B3531" s="3"/>
    </row>
    <row r="3532" spans="2:2" x14ac:dyDescent="0.25">
      <c r="B3532" s="3"/>
    </row>
    <row r="3533" spans="2:2" x14ac:dyDescent="0.25">
      <c r="B3533" s="3"/>
    </row>
    <row r="3534" spans="2:2" x14ac:dyDescent="0.25">
      <c r="B3534" s="3"/>
    </row>
    <row r="3535" spans="2:2" x14ac:dyDescent="0.25">
      <c r="B3535" s="3"/>
    </row>
    <row r="3536" spans="2:2" x14ac:dyDescent="0.25">
      <c r="B3536" s="3"/>
    </row>
    <row r="3537" spans="2:2" x14ac:dyDescent="0.25">
      <c r="B3537" s="3"/>
    </row>
    <row r="3538" spans="2:2" x14ac:dyDescent="0.25">
      <c r="B3538" s="3"/>
    </row>
    <row r="3539" spans="2:2" x14ac:dyDescent="0.25">
      <c r="B3539" s="3"/>
    </row>
    <row r="3540" spans="2:2" x14ac:dyDescent="0.25">
      <c r="B3540" s="3"/>
    </row>
    <row r="3541" spans="2:2" x14ac:dyDescent="0.25">
      <c r="B3541" s="3"/>
    </row>
    <row r="3542" spans="2:2" x14ac:dyDescent="0.25">
      <c r="B3542" s="3"/>
    </row>
    <row r="3543" spans="2:2" x14ac:dyDescent="0.25">
      <c r="B3543" s="3"/>
    </row>
    <row r="3544" spans="2:2" x14ac:dyDescent="0.25">
      <c r="B3544" s="3"/>
    </row>
    <row r="3545" spans="2:2" x14ac:dyDescent="0.25">
      <c r="B3545" s="3"/>
    </row>
    <row r="3546" spans="2:2" x14ac:dyDescent="0.25">
      <c r="B3546" s="3"/>
    </row>
    <row r="3547" spans="2:2" x14ac:dyDescent="0.25">
      <c r="B3547" s="3"/>
    </row>
    <row r="3548" spans="2:2" x14ac:dyDescent="0.25">
      <c r="B3548" s="3"/>
    </row>
    <row r="3549" spans="2:2" x14ac:dyDescent="0.25">
      <c r="B3549" s="3"/>
    </row>
    <row r="3550" spans="2:2" x14ac:dyDescent="0.25">
      <c r="B3550" s="3"/>
    </row>
    <row r="3551" spans="2:2" x14ac:dyDescent="0.25">
      <c r="B3551" s="3"/>
    </row>
    <row r="3552" spans="2:2" x14ac:dyDescent="0.25">
      <c r="B3552" s="3"/>
    </row>
    <row r="3553" spans="2:2" x14ac:dyDescent="0.25">
      <c r="B3553" s="3"/>
    </row>
    <row r="3554" spans="2:2" x14ac:dyDescent="0.25">
      <c r="B3554" s="3"/>
    </row>
    <row r="3555" spans="2:2" x14ac:dyDescent="0.25">
      <c r="B3555" s="3"/>
    </row>
    <row r="3556" spans="2:2" x14ac:dyDescent="0.25">
      <c r="B3556" s="3"/>
    </row>
    <row r="3557" spans="2:2" x14ac:dyDescent="0.25">
      <c r="B3557" s="3"/>
    </row>
    <row r="3558" spans="2:2" x14ac:dyDescent="0.25">
      <c r="B3558" s="3"/>
    </row>
    <row r="3559" spans="2:2" x14ac:dyDescent="0.25">
      <c r="B3559" s="3"/>
    </row>
    <row r="3560" spans="2:2" x14ac:dyDescent="0.25">
      <c r="B3560" s="3"/>
    </row>
    <row r="3561" spans="2:2" x14ac:dyDescent="0.25">
      <c r="B3561" s="3"/>
    </row>
    <row r="3562" spans="2:2" x14ac:dyDescent="0.25">
      <c r="B3562" s="3"/>
    </row>
    <row r="3563" spans="2:2" x14ac:dyDescent="0.25">
      <c r="B3563" s="3"/>
    </row>
    <row r="3564" spans="2:2" x14ac:dyDescent="0.25">
      <c r="B3564" s="3"/>
    </row>
    <row r="3565" spans="2:2" x14ac:dyDescent="0.25">
      <c r="B3565" s="3"/>
    </row>
    <row r="3566" spans="2:2" x14ac:dyDescent="0.25">
      <c r="B3566" s="3"/>
    </row>
    <row r="3567" spans="2:2" x14ac:dyDescent="0.25">
      <c r="B3567" s="3"/>
    </row>
    <row r="3568" spans="2:2" x14ac:dyDescent="0.25">
      <c r="B3568" s="3"/>
    </row>
    <row r="3569" spans="2:2" x14ac:dyDescent="0.25">
      <c r="B3569" s="3"/>
    </row>
    <row r="3570" spans="2:2" x14ac:dyDescent="0.25">
      <c r="B3570" s="3"/>
    </row>
    <row r="3571" spans="2:2" x14ac:dyDescent="0.25">
      <c r="B3571" s="3"/>
    </row>
    <row r="3572" spans="2:2" x14ac:dyDescent="0.25">
      <c r="B3572" s="3"/>
    </row>
    <row r="3573" spans="2:2" x14ac:dyDescent="0.25">
      <c r="B3573" s="3"/>
    </row>
    <row r="3574" spans="2:2" x14ac:dyDescent="0.25">
      <c r="B3574" s="3"/>
    </row>
    <row r="3575" spans="2:2" x14ac:dyDescent="0.25">
      <c r="B3575" s="3"/>
    </row>
    <row r="3576" spans="2:2" x14ac:dyDescent="0.25">
      <c r="B3576" s="3"/>
    </row>
    <row r="3577" spans="2:2" x14ac:dyDescent="0.25">
      <c r="B3577" s="3"/>
    </row>
    <row r="3578" spans="2:2" x14ac:dyDescent="0.25">
      <c r="B3578" s="3"/>
    </row>
    <row r="3579" spans="2:2" x14ac:dyDescent="0.25">
      <c r="B3579" s="3"/>
    </row>
    <row r="3580" spans="2:2" x14ac:dyDescent="0.25">
      <c r="B3580" s="3"/>
    </row>
    <row r="3581" spans="2:2" x14ac:dyDescent="0.25">
      <c r="B3581" s="3"/>
    </row>
    <row r="3582" spans="2:2" x14ac:dyDescent="0.25">
      <c r="B3582" s="3"/>
    </row>
    <row r="3583" spans="2:2" x14ac:dyDescent="0.25">
      <c r="B3583" s="3"/>
    </row>
    <row r="3584" spans="2:2" x14ac:dyDescent="0.25">
      <c r="B3584" s="3"/>
    </row>
    <row r="3585" spans="2:2" x14ac:dyDescent="0.25">
      <c r="B3585" s="3"/>
    </row>
    <row r="3586" spans="2:2" x14ac:dyDescent="0.25">
      <c r="B3586" s="3"/>
    </row>
    <row r="3587" spans="2:2" x14ac:dyDescent="0.25">
      <c r="B3587" s="3"/>
    </row>
    <row r="3588" spans="2:2" x14ac:dyDescent="0.25">
      <c r="B3588" s="3"/>
    </row>
    <row r="3589" spans="2:2" x14ac:dyDescent="0.25">
      <c r="B3589" s="3"/>
    </row>
    <row r="3590" spans="2:2" x14ac:dyDescent="0.25">
      <c r="B3590" s="3"/>
    </row>
    <row r="3591" spans="2:2" x14ac:dyDescent="0.25">
      <c r="B3591" s="3"/>
    </row>
    <row r="3592" spans="2:2" x14ac:dyDescent="0.25">
      <c r="B3592" s="3"/>
    </row>
    <row r="3593" spans="2:2" x14ac:dyDescent="0.25">
      <c r="B3593" s="3"/>
    </row>
    <row r="3594" spans="2:2" x14ac:dyDescent="0.25">
      <c r="B3594" s="3"/>
    </row>
    <row r="3595" spans="2:2" x14ac:dyDescent="0.25">
      <c r="B3595" s="3"/>
    </row>
    <row r="3596" spans="2:2" x14ac:dyDescent="0.25">
      <c r="B3596" s="3"/>
    </row>
    <row r="3597" spans="2:2" x14ac:dyDescent="0.25">
      <c r="B3597" s="3"/>
    </row>
    <row r="3598" spans="2:2" x14ac:dyDescent="0.25">
      <c r="B3598" s="3"/>
    </row>
    <row r="3599" spans="2:2" x14ac:dyDescent="0.25">
      <c r="B3599" s="3"/>
    </row>
    <row r="3600" spans="2:2" x14ac:dyDescent="0.25">
      <c r="B3600" s="3"/>
    </row>
    <row r="3601" spans="2:2" x14ac:dyDescent="0.25">
      <c r="B3601" s="3"/>
    </row>
    <row r="3602" spans="2:2" x14ac:dyDescent="0.25">
      <c r="B3602" s="3"/>
    </row>
    <row r="3603" spans="2:2" x14ac:dyDescent="0.25">
      <c r="B3603" s="3"/>
    </row>
    <row r="3604" spans="2:2" x14ac:dyDescent="0.25">
      <c r="B3604" s="3"/>
    </row>
    <row r="3605" spans="2:2" x14ac:dyDescent="0.25">
      <c r="B3605" s="3"/>
    </row>
    <row r="3606" spans="2:2" x14ac:dyDescent="0.25">
      <c r="B3606" s="3"/>
    </row>
    <row r="3607" spans="2:2" x14ac:dyDescent="0.25">
      <c r="B3607" s="3"/>
    </row>
    <row r="3608" spans="2:2" x14ac:dyDescent="0.25">
      <c r="B3608" s="3"/>
    </row>
    <row r="3609" spans="2:2" x14ac:dyDescent="0.25">
      <c r="B3609" s="3"/>
    </row>
    <row r="3610" spans="2:2" x14ac:dyDescent="0.25">
      <c r="B3610" s="3"/>
    </row>
    <row r="3611" spans="2:2" x14ac:dyDescent="0.25">
      <c r="B3611" s="3"/>
    </row>
    <row r="3612" spans="2:2" x14ac:dyDescent="0.25">
      <c r="B3612" s="3"/>
    </row>
    <row r="3613" spans="2:2" x14ac:dyDescent="0.25">
      <c r="B3613" s="3"/>
    </row>
    <row r="3614" spans="2:2" x14ac:dyDescent="0.25">
      <c r="B3614" s="3"/>
    </row>
    <row r="3615" spans="2:2" x14ac:dyDescent="0.25">
      <c r="B3615" s="3"/>
    </row>
    <row r="3616" spans="2:2" x14ac:dyDescent="0.25">
      <c r="B3616" s="3"/>
    </row>
    <row r="3617" spans="2:2" x14ac:dyDescent="0.25">
      <c r="B3617" s="3"/>
    </row>
    <row r="3618" spans="2:2" x14ac:dyDescent="0.25">
      <c r="B3618" s="3"/>
    </row>
    <row r="3619" spans="2:2" x14ac:dyDescent="0.25">
      <c r="B3619" s="3"/>
    </row>
    <row r="3620" spans="2:2" x14ac:dyDescent="0.25">
      <c r="B3620" s="3"/>
    </row>
    <row r="3621" spans="2:2" x14ac:dyDescent="0.25">
      <c r="B3621" s="3"/>
    </row>
    <row r="3622" spans="2:2" x14ac:dyDescent="0.25">
      <c r="B3622" s="3"/>
    </row>
    <row r="3623" spans="2:2" x14ac:dyDescent="0.25">
      <c r="B3623" s="3"/>
    </row>
    <row r="3624" spans="2:2" x14ac:dyDescent="0.25">
      <c r="B3624" s="3"/>
    </row>
    <row r="3625" spans="2:2" x14ac:dyDescent="0.25">
      <c r="B3625" s="3"/>
    </row>
    <row r="3626" spans="2:2" x14ac:dyDescent="0.25">
      <c r="B3626" s="3"/>
    </row>
    <row r="3627" spans="2:2" x14ac:dyDescent="0.25">
      <c r="B3627" s="3"/>
    </row>
    <row r="3628" spans="2:2" x14ac:dyDescent="0.25">
      <c r="B3628" s="3"/>
    </row>
    <row r="3629" spans="2:2" x14ac:dyDescent="0.25">
      <c r="B3629" s="3"/>
    </row>
    <row r="3630" spans="2:2" x14ac:dyDescent="0.25">
      <c r="B3630" s="3"/>
    </row>
    <row r="3631" spans="2:2" x14ac:dyDescent="0.25">
      <c r="B3631" s="3"/>
    </row>
    <row r="3632" spans="2:2" x14ac:dyDescent="0.25">
      <c r="B3632" s="3"/>
    </row>
    <row r="3633" spans="2:2" x14ac:dyDescent="0.25">
      <c r="B3633" s="3"/>
    </row>
    <row r="3634" spans="2:2" x14ac:dyDescent="0.25">
      <c r="B3634" s="3"/>
    </row>
    <row r="3635" spans="2:2" x14ac:dyDescent="0.25">
      <c r="B3635" s="3"/>
    </row>
    <row r="3636" spans="2:2" x14ac:dyDescent="0.25">
      <c r="B3636" s="3"/>
    </row>
    <row r="3637" spans="2:2" x14ac:dyDescent="0.25">
      <c r="B3637" s="3"/>
    </row>
    <row r="3638" spans="2:2" x14ac:dyDescent="0.25">
      <c r="B3638" s="3"/>
    </row>
    <row r="3639" spans="2:2" x14ac:dyDescent="0.25">
      <c r="B3639" s="3"/>
    </row>
    <row r="3640" spans="2:2" x14ac:dyDescent="0.25">
      <c r="B3640" s="3"/>
    </row>
    <row r="3641" spans="2:2" x14ac:dyDescent="0.25">
      <c r="B3641" s="3"/>
    </row>
    <row r="3642" spans="2:2" x14ac:dyDescent="0.25">
      <c r="B3642" s="3"/>
    </row>
    <row r="3643" spans="2:2" x14ac:dyDescent="0.25">
      <c r="B3643" s="3"/>
    </row>
    <row r="3644" spans="2:2" x14ac:dyDescent="0.25">
      <c r="B3644" s="3"/>
    </row>
    <row r="3645" spans="2:2" x14ac:dyDescent="0.25">
      <c r="B3645" s="3"/>
    </row>
    <row r="3646" spans="2:2" x14ac:dyDescent="0.25">
      <c r="B3646" s="3"/>
    </row>
    <row r="3647" spans="2:2" x14ac:dyDescent="0.25">
      <c r="B3647" s="3"/>
    </row>
    <row r="3648" spans="2:2" x14ac:dyDescent="0.25">
      <c r="B3648" s="3"/>
    </row>
    <row r="3649" spans="2:2" x14ac:dyDescent="0.25">
      <c r="B3649" s="3"/>
    </row>
    <row r="3650" spans="2:2" x14ac:dyDescent="0.25">
      <c r="B3650" s="3"/>
    </row>
    <row r="3651" spans="2:2" x14ac:dyDescent="0.25">
      <c r="B3651" s="3"/>
    </row>
    <row r="3652" spans="2:2" x14ac:dyDescent="0.25">
      <c r="B3652" s="3"/>
    </row>
    <row r="3653" spans="2:2" x14ac:dyDescent="0.25">
      <c r="B3653" s="3"/>
    </row>
    <row r="3654" spans="2:2" x14ac:dyDescent="0.25">
      <c r="B3654" s="3"/>
    </row>
    <row r="3655" spans="2:2" x14ac:dyDescent="0.25">
      <c r="B3655" s="3"/>
    </row>
    <row r="3656" spans="2:2" x14ac:dyDescent="0.25">
      <c r="B3656" s="3"/>
    </row>
    <row r="3657" spans="2:2" x14ac:dyDescent="0.25">
      <c r="B3657" s="3"/>
    </row>
    <row r="3658" spans="2:2" x14ac:dyDescent="0.25">
      <c r="B3658" s="3"/>
    </row>
    <row r="3659" spans="2:2" x14ac:dyDescent="0.25">
      <c r="B3659" s="3"/>
    </row>
    <row r="3660" spans="2:2" x14ac:dyDescent="0.25">
      <c r="B3660" s="3"/>
    </row>
    <row r="3661" spans="2:2" x14ac:dyDescent="0.25">
      <c r="B3661" s="3"/>
    </row>
    <row r="3662" spans="2:2" x14ac:dyDescent="0.25">
      <c r="B3662" s="3"/>
    </row>
    <row r="3663" spans="2:2" x14ac:dyDescent="0.25">
      <c r="B3663" s="3"/>
    </row>
    <row r="3664" spans="2:2" x14ac:dyDescent="0.25">
      <c r="B3664" s="3"/>
    </row>
    <row r="3665" spans="2:2" x14ac:dyDescent="0.25">
      <c r="B3665" s="3"/>
    </row>
    <row r="3666" spans="2:2" x14ac:dyDescent="0.25">
      <c r="B3666" s="3"/>
    </row>
    <row r="3667" spans="2:2" x14ac:dyDescent="0.25">
      <c r="B3667" s="3"/>
    </row>
    <row r="3668" spans="2:2" x14ac:dyDescent="0.25">
      <c r="B3668" s="3"/>
    </row>
    <row r="3669" spans="2:2" x14ac:dyDescent="0.25">
      <c r="B3669" s="3"/>
    </row>
    <row r="3670" spans="2:2" x14ac:dyDescent="0.25">
      <c r="B3670" s="3"/>
    </row>
    <row r="3671" spans="2:2" x14ac:dyDescent="0.25">
      <c r="B3671" s="3"/>
    </row>
    <row r="3672" spans="2:2" x14ac:dyDescent="0.25">
      <c r="B3672" s="3"/>
    </row>
    <row r="3673" spans="2:2" x14ac:dyDescent="0.25">
      <c r="B3673" s="3"/>
    </row>
    <row r="3674" spans="2:2" x14ac:dyDescent="0.25">
      <c r="B3674" s="3"/>
    </row>
    <row r="3675" spans="2:2" x14ac:dyDescent="0.25">
      <c r="B3675" s="3"/>
    </row>
    <row r="3676" spans="2:2" x14ac:dyDescent="0.25">
      <c r="B3676" s="3"/>
    </row>
    <row r="3677" spans="2:2" x14ac:dyDescent="0.25">
      <c r="B3677" s="3"/>
    </row>
    <row r="3678" spans="2:2" x14ac:dyDescent="0.25">
      <c r="B3678" s="3"/>
    </row>
    <row r="3679" spans="2:2" x14ac:dyDescent="0.25">
      <c r="B3679" s="3"/>
    </row>
    <row r="3680" spans="2:2" x14ac:dyDescent="0.25">
      <c r="B3680" s="3"/>
    </row>
    <row r="3681" spans="2:2" x14ac:dyDescent="0.25">
      <c r="B3681" s="3"/>
    </row>
    <row r="3682" spans="2:2" x14ac:dyDescent="0.25">
      <c r="B3682" s="3"/>
    </row>
    <row r="3683" spans="2:2" x14ac:dyDescent="0.25">
      <c r="B3683" s="3"/>
    </row>
    <row r="3684" spans="2:2" x14ac:dyDescent="0.25">
      <c r="B3684" s="3"/>
    </row>
    <row r="3685" spans="2:2" x14ac:dyDescent="0.25">
      <c r="B3685" s="3"/>
    </row>
    <row r="3686" spans="2:2" x14ac:dyDescent="0.25">
      <c r="B3686" s="3"/>
    </row>
    <row r="3687" spans="2:2" x14ac:dyDescent="0.25">
      <c r="B3687" s="3"/>
    </row>
    <row r="3688" spans="2:2" x14ac:dyDescent="0.25">
      <c r="B3688" s="3"/>
    </row>
    <row r="3689" spans="2:2" x14ac:dyDescent="0.25">
      <c r="B3689" s="3"/>
    </row>
    <row r="3690" spans="2:2" x14ac:dyDescent="0.25">
      <c r="B3690" s="3"/>
    </row>
    <row r="3691" spans="2:2" x14ac:dyDescent="0.25">
      <c r="B3691" s="3"/>
    </row>
    <row r="3692" spans="2:2" x14ac:dyDescent="0.25">
      <c r="B3692" s="3"/>
    </row>
    <row r="3693" spans="2:2" x14ac:dyDescent="0.25">
      <c r="B3693" s="3"/>
    </row>
    <row r="3694" spans="2:2" x14ac:dyDescent="0.25">
      <c r="B3694" s="3"/>
    </row>
    <row r="3695" spans="2:2" x14ac:dyDescent="0.25">
      <c r="B3695" s="3"/>
    </row>
    <row r="3696" spans="2:2" x14ac:dyDescent="0.25">
      <c r="B3696" s="3"/>
    </row>
    <row r="3697" spans="2:2" x14ac:dyDescent="0.25">
      <c r="B3697" s="3"/>
    </row>
    <row r="3698" spans="2:2" x14ac:dyDescent="0.25">
      <c r="B3698" s="3"/>
    </row>
    <row r="3699" spans="2:2" x14ac:dyDescent="0.25">
      <c r="B3699" s="3"/>
    </row>
    <row r="3700" spans="2:2" x14ac:dyDescent="0.25">
      <c r="B3700" s="3"/>
    </row>
    <row r="3701" spans="2:2" x14ac:dyDescent="0.25">
      <c r="B3701" s="3"/>
    </row>
    <row r="3702" spans="2:2" x14ac:dyDescent="0.25">
      <c r="B3702" s="3"/>
    </row>
    <row r="3703" spans="2:2" x14ac:dyDescent="0.25">
      <c r="B3703" s="3"/>
    </row>
    <row r="3704" spans="2:2" x14ac:dyDescent="0.25">
      <c r="B3704" s="3"/>
    </row>
    <row r="3705" spans="2:2" x14ac:dyDescent="0.25">
      <c r="B3705" s="3"/>
    </row>
    <row r="3706" spans="2:2" x14ac:dyDescent="0.25">
      <c r="B3706" s="3"/>
    </row>
    <row r="3707" spans="2:2" x14ac:dyDescent="0.25">
      <c r="B3707" s="3"/>
    </row>
    <row r="3708" spans="2:2" x14ac:dyDescent="0.25">
      <c r="B3708" s="3"/>
    </row>
    <row r="3709" spans="2:2" x14ac:dyDescent="0.25">
      <c r="B3709" s="3"/>
    </row>
    <row r="3710" spans="2:2" x14ac:dyDescent="0.25">
      <c r="B3710" s="3"/>
    </row>
    <row r="3711" spans="2:2" x14ac:dyDescent="0.25">
      <c r="B3711" s="3"/>
    </row>
    <row r="3712" spans="2:2" x14ac:dyDescent="0.25">
      <c r="B3712" s="3"/>
    </row>
    <row r="3713" spans="2:2" x14ac:dyDescent="0.25">
      <c r="B3713" s="3"/>
    </row>
    <row r="3714" spans="2:2" x14ac:dyDescent="0.25">
      <c r="B3714" s="3"/>
    </row>
    <row r="3715" spans="2:2" x14ac:dyDescent="0.25">
      <c r="B3715" s="3"/>
    </row>
    <row r="3716" spans="2:2" x14ac:dyDescent="0.25">
      <c r="B3716" s="3"/>
    </row>
    <row r="3717" spans="2:2" x14ac:dyDescent="0.25">
      <c r="B3717" s="3"/>
    </row>
    <row r="3718" spans="2:2" x14ac:dyDescent="0.25">
      <c r="B3718" s="3"/>
    </row>
    <row r="3719" spans="2:2" x14ac:dyDescent="0.25">
      <c r="B3719" s="3"/>
    </row>
    <row r="3720" spans="2:2" x14ac:dyDescent="0.25">
      <c r="B3720" s="3"/>
    </row>
    <row r="3721" spans="2:2" x14ac:dyDescent="0.25">
      <c r="B3721" s="3"/>
    </row>
    <row r="3722" spans="2:2" x14ac:dyDescent="0.25">
      <c r="B3722" s="3"/>
    </row>
    <row r="3723" spans="2:2" x14ac:dyDescent="0.25">
      <c r="B3723" s="3"/>
    </row>
    <row r="3724" spans="2:2" x14ac:dyDescent="0.25">
      <c r="B3724" s="3"/>
    </row>
    <row r="3725" spans="2:2" x14ac:dyDescent="0.25">
      <c r="B3725" s="3"/>
    </row>
    <row r="3726" spans="2:2" x14ac:dyDescent="0.25">
      <c r="B3726" s="3"/>
    </row>
    <row r="3727" spans="2:2" x14ac:dyDescent="0.25">
      <c r="B3727" s="3"/>
    </row>
    <row r="3728" spans="2:2" x14ac:dyDescent="0.25">
      <c r="B3728" s="3"/>
    </row>
    <row r="3729" spans="2:2" x14ac:dyDescent="0.25">
      <c r="B3729" s="3"/>
    </row>
    <row r="3730" spans="2:2" x14ac:dyDescent="0.25">
      <c r="B3730" s="3"/>
    </row>
    <row r="3731" spans="2:2" x14ac:dyDescent="0.25">
      <c r="B3731" s="3"/>
    </row>
    <row r="3732" spans="2:2" x14ac:dyDescent="0.25">
      <c r="B3732" s="3"/>
    </row>
    <row r="3733" spans="2:2" x14ac:dyDescent="0.25">
      <c r="B3733" s="3"/>
    </row>
    <row r="3734" spans="2:2" x14ac:dyDescent="0.25">
      <c r="B3734" s="3"/>
    </row>
    <row r="3735" spans="2:2" x14ac:dyDescent="0.25">
      <c r="B3735" s="3"/>
    </row>
    <row r="3736" spans="2:2" x14ac:dyDescent="0.25">
      <c r="B3736" s="3"/>
    </row>
    <row r="3737" spans="2:2" x14ac:dyDescent="0.25">
      <c r="B3737" s="3"/>
    </row>
    <row r="3738" spans="2:2" x14ac:dyDescent="0.25">
      <c r="B3738" s="3"/>
    </row>
    <row r="3739" spans="2:2" x14ac:dyDescent="0.25">
      <c r="B3739" s="3"/>
    </row>
    <row r="3740" spans="2:2" x14ac:dyDescent="0.25">
      <c r="B3740" s="3"/>
    </row>
    <row r="3741" spans="2:2" x14ac:dyDescent="0.25">
      <c r="B3741" s="3"/>
    </row>
    <row r="3742" spans="2:2" x14ac:dyDescent="0.25">
      <c r="B3742" s="3"/>
    </row>
    <row r="3743" spans="2:2" x14ac:dyDescent="0.25">
      <c r="B3743" s="3"/>
    </row>
    <row r="3744" spans="2:2" x14ac:dyDescent="0.25">
      <c r="B3744" s="3"/>
    </row>
    <row r="3745" spans="2:2" x14ac:dyDescent="0.25">
      <c r="B3745" s="3"/>
    </row>
    <row r="3746" spans="2:2" x14ac:dyDescent="0.25">
      <c r="B3746" s="3"/>
    </row>
    <row r="3747" spans="2:2" x14ac:dyDescent="0.25">
      <c r="B3747" s="3"/>
    </row>
    <row r="3748" spans="2:2" x14ac:dyDescent="0.25">
      <c r="B3748" s="3"/>
    </row>
    <row r="3749" spans="2:2" x14ac:dyDescent="0.25">
      <c r="B3749" s="3"/>
    </row>
    <row r="3750" spans="2:2" x14ac:dyDescent="0.25">
      <c r="B3750" s="3"/>
    </row>
    <row r="3751" spans="2:2" x14ac:dyDescent="0.25">
      <c r="B3751" s="3"/>
    </row>
    <row r="3752" spans="2:2" x14ac:dyDescent="0.25">
      <c r="B3752" s="3"/>
    </row>
    <row r="3753" spans="2:2" x14ac:dyDescent="0.25">
      <c r="B3753" s="3"/>
    </row>
    <row r="3754" spans="2:2" x14ac:dyDescent="0.25">
      <c r="B3754" s="3"/>
    </row>
    <row r="3755" spans="2:2" x14ac:dyDescent="0.25">
      <c r="B3755" s="3"/>
    </row>
    <row r="3756" spans="2:2" x14ac:dyDescent="0.25">
      <c r="B3756" s="3"/>
    </row>
    <row r="3757" spans="2:2" x14ac:dyDescent="0.25">
      <c r="B3757" s="3"/>
    </row>
    <row r="3758" spans="2:2" x14ac:dyDescent="0.25">
      <c r="B3758" s="3"/>
    </row>
    <row r="3759" spans="2:2" x14ac:dyDescent="0.25">
      <c r="B3759" s="3"/>
    </row>
    <row r="3760" spans="2:2" x14ac:dyDescent="0.25">
      <c r="B3760" s="3"/>
    </row>
    <row r="3761" spans="2:2" x14ac:dyDescent="0.25">
      <c r="B3761" s="3"/>
    </row>
    <row r="3762" spans="2:2" x14ac:dyDescent="0.25">
      <c r="B3762" s="3"/>
    </row>
    <row r="3763" spans="2:2" x14ac:dyDescent="0.25">
      <c r="B3763" s="3"/>
    </row>
    <row r="3764" spans="2:2" x14ac:dyDescent="0.25">
      <c r="B3764" s="3"/>
    </row>
    <row r="3765" spans="2:2" x14ac:dyDescent="0.25">
      <c r="B3765" s="3"/>
    </row>
    <row r="3766" spans="2:2" x14ac:dyDescent="0.25">
      <c r="B3766" s="3"/>
    </row>
    <row r="3767" spans="2:2" x14ac:dyDescent="0.25">
      <c r="B3767" s="3"/>
    </row>
    <row r="3768" spans="2:2" x14ac:dyDescent="0.25">
      <c r="B3768" s="3"/>
    </row>
    <row r="3769" spans="2:2" x14ac:dyDescent="0.25">
      <c r="B3769" s="3"/>
    </row>
    <row r="3770" spans="2:2" x14ac:dyDescent="0.25">
      <c r="B3770" s="3"/>
    </row>
    <row r="3771" spans="2:2" x14ac:dyDescent="0.25">
      <c r="B3771" s="3"/>
    </row>
    <row r="3772" spans="2:2" x14ac:dyDescent="0.25">
      <c r="B3772" s="3"/>
    </row>
    <row r="3773" spans="2:2" x14ac:dyDescent="0.25">
      <c r="B3773" s="3"/>
    </row>
    <row r="3774" spans="2:2" x14ac:dyDescent="0.25">
      <c r="B3774" s="3"/>
    </row>
    <row r="3775" spans="2:2" x14ac:dyDescent="0.25">
      <c r="B3775" s="3"/>
    </row>
    <row r="3776" spans="2:2" x14ac:dyDescent="0.25">
      <c r="B3776" s="3"/>
    </row>
    <row r="3777" spans="2:2" x14ac:dyDescent="0.25">
      <c r="B3777" s="3"/>
    </row>
    <row r="3778" spans="2:2" x14ac:dyDescent="0.25">
      <c r="B3778" s="3"/>
    </row>
    <row r="3779" spans="2:2" x14ac:dyDescent="0.25">
      <c r="B3779" s="3"/>
    </row>
    <row r="3780" spans="2:2" x14ac:dyDescent="0.25">
      <c r="B3780" s="3"/>
    </row>
    <row r="3781" spans="2:2" x14ac:dyDescent="0.25">
      <c r="B3781" s="3"/>
    </row>
    <row r="3782" spans="2:2" x14ac:dyDescent="0.25">
      <c r="B3782" s="3"/>
    </row>
    <row r="3783" spans="2:2" x14ac:dyDescent="0.25">
      <c r="B3783" s="3"/>
    </row>
    <row r="3784" spans="2:2" x14ac:dyDescent="0.25">
      <c r="B3784" s="3"/>
    </row>
    <row r="3785" spans="2:2" x14ac:dyDescent="0.25">
      <c r="B3785" s="3"/>
    </row>
    <row r="3786" spans="2:2" x14ac:dyDescent="0.25">
      <c r="B3786" s="3"/>
    </row>
    <row r="3787" spans="2:2" x14ac:dyDescent="0.25">
      <c r="B3787" s="3"/>
    </row>
    <row r="3788" spans="2:2" x14ac:dyDescent="0.25">
      <c r="B3788" s="3"/>
    </row>
    <row r="3789" spans="2:2" x14ac:dyDescent="0.25">
      <c r="B3789" s="3"/>
    </row>
    <row r="3790" spans="2:2" x14ac:dyDescent="0.25">
      <c r="B3790" s="3"/>
    </row>
    <row r="3791" spans="2:2" x14ac:dyDescent="0.25">
      <c r="B3791" s="3"/>
    </row>
    <row r="3792" spans="2:2" x14ac:dyDescent="0.25">
      <c r="B3792" s="3"/>
    </row>
    <row r="3793" spans="2:2" x14ac:dyDescent="0.25">
      <c r="B3793" s="3"/>
    </row>
    <row r="3794" spans="2:2" x14ac:dyDescent="0.25">
      <c r="B3794" s="3"/>
    </row>
    <row r="3795" spans="2:2" x14ac:dyDescent="0.25">
      <c r="B3795" s="3"/>
    </row>
    <row r="3796" spans="2:2" x14ac:dyDescent="0.25">
      <c r="B3796" s="3"/>
    </row>
    <row r="3797" spans="2:2" x14ac:dyDescent="0.25">
      <c r="B3797" s="3"/>
    </row>
    <row r="3798" spans="2:2" x14ac:dyDescent="0.25">
      <c r="B3798" s="3"/>
    </row>
    <row r="3799" spans="2:2" x14ac:dyDescent="0.25">
      <c r="B3799" s="3"/>
    </row>
    <row r="3800" spans="2:2" x14ac:dyDescent="0.25">
      <c r="B3800" s="3"/>
    </row>
    <row r="3801" spans="2:2" x14ac:dyDescent="0.25">
      <c r="B3801" s="3"/>
    </row>
    <row r="3802" spans="2:2" x14ac:dyDescent="0.25">
      <c r="B3802" s="3"/>
    </row>
    <row r="3803" spans="2:2" x14ac:dyDescent="0.25">
      <c r="B3803" s="3"/>
    </row>
    <row r="3804" spans="2:2" x14ac:dyDescent="0.25">
      <c r="B3804" s="3"/>
    </row>
    <row r="3805" spans="2:2" x14ac:dyDescent="0.25">
      <c r="B3805" s="3"/>
    </row>
    <row r="3806" spans="2:2" x14ac:dyDescent="0.25">
      <c r="B3806" s="3"/>
    </row>
    <row r="3807" spans="2:2" x14ac:dyDescent="0.25">
      <c r="B3807" s="3"/>
    </row>
    <row r="3808" spans="2:2" x14ac:dyDescent="0.25">
      <c r="B3808" s="3"/>
    </row>
    <row r="3809" spans="2:2" x14ac:dyDescent="0.25">
      <c r="B3809" s="3"/>
    </row>
    <row r="3810" spans="2:2" x14ac:dyDescent="0.25">
      <c r="B3810" s="3"/>
    </row>
    <row r="3811" spans="2:2" x14ac:dyDescent="0.25">
      <c r="B3811" s="3"/>
    </row>
    <row r="3812" spans="2:2" x14ac:dyDescent="0.25">
      <c r="B3812" s="3"/>
    </row>
    <row r="3813" spans="2:2" x14ac:dyDescent="0.25">
      <c r="B3813" s="3"/>
    </row>
    <row r="3814" spans="2:2" x14ac:dyDescent="0.25">
      <c r="B3814" s="3"/>
    </row>
    <row r="3815" spans="2:2" x14ac:dyDescent="0.25">
      <c r="B3815" s="3"/>
    </row>
    <row r="3816" spans="2:2" x14ac:dyDescent="0.25">
      <c r="B3816" s="3"/>
    </row>
    <row r="3817" spans="2:2" x14ac:dyDescent="0.25">
      <c r="B3817" s="3"/>
    </row>
    <row r="3818" spans="2:2" x14ac:dyDescent="0.25">
      <c r="B3818" s="3"/>
    </row>
    <row r="3819" spans="2:2" x14ac:dyDescent="0.25">
      <c r="B3819" s="3"/>
    </row>
    <row r="3820" spans="2:2" x14ac:dyDescent="0.25">
      <c r="B3820" s="3"/>
    </row>
    <row r="3821" spans="2:2" x14ac:dyDescent="0.25">
      <c r="B3821" s="3"/>
    </row>
    <row r="3822" spans="2:2" x14ac:dyDescent="0.25">
      <c r="B3822" s="3"/>
    </row>
    <row r="3823" spans="2:2" x14ac:dyDescent="0.25">
      <c r="B3823" s="3"/>
    </row>
    <row r="3824" spans="2:2" x14ac:dyDescent="0.25">
      <c r="B3824" s="3"/>
    </row>
    <row r="3825" spans="2:2" x14ac:dyDescent="0.25">
      <c r="B3825" s="3"/>
    </row>
    <row r="3826" spans="2:2" x14ac:dyDescent="0.25">
      <c r="B3826" s="3"/>
    </row>
    <row r="3827" spans="2:2" x14ac:dyDescent="0.25">
      <c r="B3827" s="3"/>
    </row>
    <row r="3828" spans="2:2" x14ac:dyDescent="0.25">
      <c r="B3828" s="3"/>
    </row>
    <row r="3829" spans="2:2" x14ac:dyDescent="0.25">
      <c r="B3829" s="3"/>
    </row>
    <row r="3830" spans="2:2" x14ac:dyDescent="0.25">
      <c r="B3830" s="3"/>
    </row>
    <row r="3831" spans="2:2" x14ac:dyDescent="0.25">
      <c r="B3831" s="3"/>
    </row>
    <row r="3832" spans="2:2" x14ac:dyDescent="0.25">
      <c r="B3832" s="3"/>
    </row>
    <row r="3833" spans="2:2" x14ac:dyDescent="0.25">
      <c r="B3833" s="3"/>
    </row>
    <row r="3834" spans="2:2" x14ac:dyDescent="0.25">
      <c r="B3834" s="3"/>
    </row>
    <row r="3835" spans="2:2" x14ac:dyDescent="0.25">
      <c r="B3835" s="3"/>
    </row>
    <row r="3836" spans="2:2" x14ac:dyDescent="0.25">
      <c r="B3836" s="3"/>
    </row>
    <row r="3837" spans="2:2" x14ac:dyDescent="0.25">
      <c r="B3837" s="3"/>
    </row>
    <row r="3838" spans="2:2" x14ac:dyDescent="0.25">
      <c r="B3838" s="3"/>
    </row>
    <row r="3839" spans="2:2" x14ac:dyDescent="0.25">
      <c r="B3839" s="3"/>
    </row>
    <row r="3840" spans="2:2" x14ac:dyDescent="0.25">
      <c r="B3840" s="3"/>
    </row>
    <row r="3841" spans="2:2" x14ac:dyDescent="0.25">
      <c r="B3841" s="3"/>
    </row>
    <row r="3842" spans="2:2" x14ac:dyDescent="0.25">
      <c r="B3842" s="3"/>
    </row>
    <row r="3843" spans="2:2" x14ac:dyDescent="0.25">
      <c r="B3843" s="3"/>
    </row>
    <row r="3844" spans="2:2" x14ac:dyDescent="0.25">
      <c r="B3844" s="3"/>
    </row>
    <row r="3845" spans="2:2" x14ac:dyDescent="0.25">
      <c r="B3845" s="3"/>
    </row>
    <row r="3846" spans="2:2" x14ac:dyDescent="0.25">
      <c r="B3846" s="3"/>
    </row>
    <row r="3847" spans="2:2" x14ac:dyDescent="0.25">
      <c r="B3847" s="3"/>
    </row>
    <row r="3848" spans="2:2" x14ac:dyDescent="0.25">
      <c r="B3848" s="3"/>
    </row>
    <row r="3849" spans="2:2" x14ac:dyDescent="0.25">
      <c r="B3849" s="3"/>
    </row>
    <row r="3850" spans="2:2" x14ac:dyDescent="0.25">
      <c r="B3850" s="3"/>
    </row>
    <row r="3851" spans="2:2" x14ac:dyDescent="0.25">
      <c r="B3851" s="3"/>
    </row>
    <row r="3852" spans="2:2" x14ac:dyDescent="0.25">
      <c r="B3852" s="3"/>
    </row>
    <row r="3853" spans="2:2" x14ac:dyDescent="0.25">
      <c r="B3853" s="3"/>
    </row>
    <row r="3854" spans="2:2" x14ac:dyDescent="0.25">
      <c r="B3854" s="3"/>
    </row>
    <row r="3855" spans="2:2" x14ac:dyDescent="0.25">
      <c r="B3855" s="3"/>
    </row>
    <row r="3856" spans="2:2" x14ac:dyDescent="0.25">
      <c r="B3856" s="3"/>
    </row>
    <row r="3857" spans="2:2" x14ac:dyDescent="0.25">
      <c r="B3857" s="3"/>
    </row>
    <row r="3858" spans="2:2" x14ac:dyDescent="0.25">
      <c r="B3858" s="3"/>
    </row>
    <row r="3859" spans="2:2" x14ac:dyDescent="0.25">
      <c r="B3859" s="3"/>
    </row>
    <row r="3860" spans="2:2" x14ac:dyDescent="0.25">
      <c r="B3860" s="3"/>
    </row>
    <row r="3861" spans="2:2" x14ac:dyDescent="0.25">
      <c r="B3861" s="3"/>
    </row>
    <row r="3862" spans="2:2" x14ac:dyDescent="0.25">
      <c r="B3862" s="3"/>
    </row>
    <row r="3863" spans="2:2" x14ac:dyDescent="0.25">
      <c r="B3863" s="3"/>
    </row>
    <row r="3864" spans="2:2" x14ac:dyDescent="0.25">
      <c r="B3864" s="3"/>
    </row>
    <row r="3865" spans="2:2" x14ac:dyDescent="0.25">
      <c r="B3865" s="3"/>
    </row>
    <row r="3866" spans="2:2" x14ac:dyDescent="0.25">
      <c r="B3866" s="3"/>
    </row>
    <row r="3867" spans="2:2" x14ac:dyDescent="0.25">
      <c r="B3867" s="3"/>
    </row>
    <row r="3868" spans="2:2" x14ac:dyDescent="0.25">
      <c r="B3868" s="3"/>
    </row>
    <row r="3869" spans="2:2" x14ac:dyDescent="0.25">
      <c r="B3869" s="3"/>
    </row>
    <row r="3870" spans="2:2" x14ac:dyDescent="0.25">
      <c r="B3870" s="3"/>
    </row>
    <row r="3871" spans="2:2" x14ac:dyDescent="0.25">
      <c r="B3871" s="3"/>
    </row>
    <row r="3872" spans="2:2" x14ac:dyDescent="0.25">
      <c r="B3872" s="3"/>
    </row>
    <row r="3873" spans="2:2" x14ac:dyDescent="0.25">
      <c r="B3873" s="3"/>
    </row>
    <row r="3874" spans="2:2" x14ac:dyDescent="0.25">
      <c r="B3874" s="3"/>
    </row>
    <row r="3875" spans="2:2" x14ac:dyDescent="0.25">
      <c r="B3875" s="3"/>
    </row>
    <row r="3876" spans="2:2" x14ac:dyDescent="0.25">
      <c r="B3876" s="3"/>
    </row>
    <row r="3877" spans="2:2" x14ac:dyDescent="0.25">
      <c r="B3877" s="3"/>
    </row>
    <row r="3878" spans="2:2" x14ac:dyDescent="0.25">
      <c r="B3878" s="3"/>
    </row>
    <row r="3879" spans="2:2" x14ac:dyDescent="0.25">
      <c r="B3879" s="3"/>
    </row>
    <row r="3880" spans="2:2" x14ac:dyDescent="0.25">
      <c r="B3880" s="3"/>
    </row>
    <row r="3881" spans="2:2" x14ac:dyDescent="0.25">
      <c r="B3881" s="3"/>
    </row>
    <row r="3882" spans="2:2" x14ac:dyDescent="0.25">
      <c r="B3882" s="3"/>
    </row>
    <row r="3883" spans="2:2" x14ac:dyDescent="0.25">
      <c r="B3883" s="3"/>
    </row>
    <row r="3884" spans="2:2" x14ac:dyDescent="0.25">
      <c r="B3884" s="3"/>
    </row>
    <row r="3885" spans="2:2" x14ac:dyDescent="0.25">
      <c r="B3885" s="3"/>
    </row>
    <row r="3886" spans="2:2" x14ac:dyDescent="0.25">
      <c r="B3886" s="3"/>
    </row>
    <row r="3887" spans="2:2" x14ac:dyDescent="0.25">
      <c r="B3887" s="3"/>
    </row>
    <row r="3888" spans="2:2" x14ac:dyDescent="0.25">
      <c r="B3888" s="3"/>
    </row>
    <row r="3889" spans="2:2" x14ac:dyDescent="0.25">
      <c r="B3889" s="3"/>
    </row>
    <row r="3890" spans="2:2" x14ac:dyDescent="0.25">
      <c r="B3890" s="3"/>
    </row>
    <row r="3891" spans="2:2" x14ac:dyDescent="0.25">
      <c r="B3891" s="3"/>
    </row>
    <row r="3892" spans="2:2" x14ac:dyDescent="0.25">
      <c r="B3892" s="3"/>
    </row>
    <row r="3893" spans="2:2" x14ac:dyDescent="0.25">
      <c r="B3893" s="3"/>
    </row>
    <row r="3894" spans="2:2" x14ac:dyDescent="0.25">
      <c r="B3894" s="3"/>
    </row>
    <row r="3895" spans="2:2" x14ac:dyDescent="0.25">
      <c r="B3895" s="3"/>
    </row>
    <row r="3896" spans="2:2" x14ac:dyDescent="0.25">
      <c r="B3896" s="3"/>
    </row>
    <row r="3897" spans="2:2" x14ac:dyDescent="0.25">
      <c r="B3897" s="3"/>
    </row>
    <row r="3898" spans="2:2" x14ac:dyDescent="0.25">
      <c r="B3898" s="3"/>
    </row>
    <row r="3899" spans="2:2" x14ac:dyDescent="0.25">
      <c r="B3899" s="3"/>
    </row>
    <row r="3900" spans="2:2" x14ac:dyDescent="0.25">
      <c r="B3900" s="3"/>
    </row>
    <row r="3901" spans="2:2" x14ac:dyDescent="0.25">
      <c r="B3901" s="3"/>
    </row>
    <row r="3902" spans="2:2" x14ac:dyDescent="0.25">
      <c r="B3902" s="3"/>
    </row>
    <row r="3903" spans="2:2" x14ac:dyDescent="0.25">
      <c r="B3903" s="3"/>
    </row>
    <row r="3904" spans="2:2" x14ac:dyDescent="0.25">
      <c r="B3904" s="3"/>
    </row>
    <row r="3905" spans="2:2" x14ac:dyDescent="0.25">
      <c r="B3905" s="3"/>
    </row>
    <row r="3906" spans="2:2" x14ac:dyDescent="0.25">
      <c r="B3906" s="3"/>
    </row>
    <row r="3907" spans="2:2" x14ac:dyDescent="0.25">
      <c r="B3907" s="3"/>
    </row>
    <row r="3908" spans="2:2" x14ac:dyDescent="0.25">
      <c r="B3908" s="3"/>
    </row>
    <row r="3909" spans="2:2" x14ac:dyDescent="0.25">
      <c r="B3909" s="3"/>
    </row>
    <row r="3910" spans="2:2" x14ac:dyDescent="0.25">
      <c r="B3910" s="3"/>
    </row>
    <row r="3911" spans="2:2" x14ac:dyDescent="0.25">
      <c r="B3911" s="3"/>
    </row>
    <row r="3912" spans="2:2" x14ac:dyDescent="0.25">
      <c r="B3912" s="3"/>
    </row>
    <row r="3913" spans="2:2" x14ac:dyDescent="0.25">
      <c r="B3913" s="3"/>
    </row>
    <row r="3914" spans="2:2" x14ac:dyDescent="0.25">
      <c r="B3914" s="3"/>
    </row>
    <row r="3915" spans="2:2" x14ac:dyDescent="0.25">
      <c r="B3915" s="3"/>
    </row>
    <row r="3916" spans="2:2" x14ac:dyDescent="0.25">
      <c r="B3916" s="3"/>
    </row>
    <row r="3917" spans="2:2" x14ac:dyDescent="0.25">
      <c r="B3917" s="3"/>
    </row>
    <row r="3918" spans="2:2" x14ac:dyDescent="0.25">
      <c r="B3918" s="3"/>
    </row>
    <row r="3919" spans="2:2" x14ac:dyDescent="0.25">
      <c r="B3919" s="3"/>
    </row>
    <row r="3920" spans="2:2" x14ac:dyDescent="0.25">
      <c r="B3920" s="3"/>
    </row>
    <row r="3921" spans="2:2" x14ac:dyDescent="0.25">
      <c r="B3921" s="3"/>
    </row>
    <row r="3922" spans="2:2" x14ac:dyDescent="0.25">
      <c r="B3922" s="3"/>
    </row>
    <row r="3923" spans="2:2" x14ac:dyDescent="0.25">
      <c r="B3923" s="3"/>
    </row>
    <row r="3924" spans="2:2" x14ac:dyDescent="0.25">
      <c r="B3924" s="3"/>
    </row>
    <row r="3925" spans="2:2" x14ac:dyDescent="0.25">
      <c r="B3925" s="3"/>
    </row>
    <row r="3926" spans="2:2" x14ac:dyDescent="0.25">
      <c r="B3926" s="3"/>
    </row>
    <row r="3927" spans="2:2" x14ac:dyDescent="0.25">
      <c r="B3927" s="3"/>
    </row>
    <row r="3928" spans="2:2" x14ac:dyDescent="0.25">
      <c r="B3928" s="3"/>
    </row>
    <row r="3929" spans="2:2" x14ac:dyDescent="0.25">
      <c r="B3929" s="3"/>
    </row>
    <row r="3930" spans="2:2" x14ac:dyDescent="0.25">
      <c r="B3930" s="3"/>
    </row>
    <row r="3931" spans="2:2" x14ac:dyDescent="0.25">
      <c r="B3931" s="3"/>
    </row>
    <row r="3932" spans="2:2" x14ac:dyDescent="0.25">
      <c r="B3932" s="3"/>
    </row>
    <row r="3933" spans="2:2" x14ac:dyDescent="0.25">
      <c r="B3933" s="3"/>
    </row>
    <row r="3934" spans="2:2" x14ac:dyDescent="0.25">
      <c r="B3934" s="3"/>
    </row>
    <row r="3935" spans="2:2" x14ac:dyDescent="0.25">
      <c r="B3935" s="3"/>
    </row>
    <row r="3936" spans="2:2" x14ac:dyDescent="0.25">
      <c r="B3936" s="3"/>
    </row>
    <row r="3937" spans="2:2" x14ac:dyDescent="0.25">
      <c r="B3937" s="3"/>
    </row>
    <row r="3938" spans="2:2" x14ac:dyDescent="0.25">
      <c r="B3938" s="3"/>
    </row>
    <row r="3939" spans="2:2" x14ac:dyDescent="0.25">
      <c r="B3939" s="3"/>
    </row>
    <row r="3940" spans="2:2" x14ac:dyDescent="0.25">
      <c r="B3940" s="3"/>
    </row>
    <row r="3941" spans="2:2" x14ac:dyDescent="0.25">
      <c r="B3941" s="3"/>
    </row>
    <row r="3942" spans="2:2" x14ac:dyDescent="0.25">
      <c r="B3942" s="3"/>
    </row>
    <row r="3943" spans="2:2" x14ac:dyDescent="0.25">
      <c r="B3943" s="3"/>
    </row>
    <row r="3944" spans="2:2" x14ac:dyDescent="0.25">
      <c r="B3944" s="3"/>
    </row>
    <row r="3945" spans="2:2" x14ac:dyDescent="0.25">
      <c r="B3945" s="3"/>
    </row>
    <row r="3946" spans="2:2" x14ac:dyDescent="0.25">
      <c r="B3946" s="3"/>
    </row>
    <row r="3947" spans="2:2" x14ac:dyDescent="0.25">
      <c r="B3947" s="3"/>
    </row>
    <row r="3948" spans="2:2" x14ac:dyDescent="0.25">
      <c r="B3948" s="3"/>
    </row>
    <row r="3949" spans="2:2" x14ac:dyDescent="0.25">
      <c r="B3949" s="3"/>
    </row>
    <row r="3950" spans="2:2" x14ac:dyDescent="0.25">
      <c r="B3950" s="3"/>
    </row>
    <row r="3951" spans="2:2" x14ac:dyDescent="0.25">
      <c r="B3951" s="3"/>
    </row>
    <row r="3952" spans="2:2" x14ac:dyDescent="0.25">
      <c r="B3952" s="3"/>
    </row>
    <row r="3953" spans="2:2" x14ac:dyDescent="0.25">
      <c r="B3953" s="3"/>
    </row>
    <row r="3954" spans="2:2" x14ac:dyDescent="0.25">
      <c r="B3954" s="3"/>
    </row>
    <row r="3955" spans="2:2" x14ac:dyDescent="0.25">
      <c r="B3955" s="3"/>
    </row>
    <row r="3956" spans="2:2" x14ac:dyDescent="0.25">
      <c r="B3956" s="3"/>
    </row>
    <row r="3957" spans="2:2" x14ac:dyDescent="0.25">
      <c r="B3957" s="3"/>
    </row>
    <row r="3958" spans="2:2" x14ac:dyDescent="0.25">
      <c r="B3958" s="3"/>
    </row>
    <row r="3959" spans="2:2" x14ac:dyDescent="0.25">
      <c r="B3959" s="3"/>
    </row>
    <row r="3960" spans="2:2" x14ac:dyDescent="0.25">
      <c r="B3960" s="3"/>
    </row>
    <row r="3961" spans="2:2" x14ac:dyDescent="0.25">
      <c r="B3961" s="3"/>
    </row>
    <row r="3962" spans="2:2" x14ac:dyDescent="0.25">
      <c r="B3962" s="3"/>
    </row>
    <row r="3963" spans="2:2" x14ac:dyDescent="0.25">
      <c r="B3963" s="3"/>
    </row>
    <row r="3964" spans="2:2" x14ac:dyDescent="0.25">
      <c r="B3964" s="3"/>
    </row>
    <row r="3965" spans="2:2" x14ac:dyDescent="0.25">
      <c r="B3965" s="3"/>
    </row>
    <row r="3966" spans="2:2" x14ac:dyDescent="0.25">
      <c r="B3966" s="3"/>
    </row>
    <row r="3967" spans="2:2" x14ac:dyDescent="0.25">
      <c r="B3967" s="3"/>
    </row>
    <row r="3968" spans="2:2" x14ac:dyDescent="0.25">
      <c r="B3968" s="3"/>
    </row>
    <row r="3969" spans="2:2" x14ac:dyDescent="0.25">
      <c r="B3969" s="3"/>
    </row>
    <row r="3970" spans="2:2" x14ac:dyDescent="0.25">
      <c r="B3970" s="3"/>
    </row>
    <row r="3971" spans="2:2" x14ac:dyDescent="0.25">
      <c r="B3971" s="3"/>
    </row>
    <row r="3972" spans="2:2" x14ac:dyDescent="0.25">
      <c r="B3972" s="3"/>
    </row>
    <row r="3973" spans="2:2" x14ac:dyDescent="0.25">
      <c r="B3973" s="3"/>
    </row>
    <row r="3974" spans="2:2" x14ac:dyDescent="0.25">
      <c r="B3974" s="3"/>
    </row>
    <row r="3975" spans="2:2" x14ac:dyDescent="0.25">
      <c r="B3975" s="3"/>
    </row>
    <row r="3976" spans="2:2" x14ac:dyDescent="0.25">
      <c r="B3976" s="3"/>
    </row>
    <row r="3977" spans="2:2" x14ac:dyDescent="0.25">
      <c r="B3977" s="3"/>
    </row>
    <row r="3978" spans="2:2" x14ac:dyDescent="0.25">
      <c r="B3978" s="3"/>
    </row>
    <row r="3979" spans="2:2" x14ac:dyDescent="0.25">
      <c r="B3979" s="3"/>
    </row>
    <row r="3980" spans="2:2" x14ac:dyDescent="0.25">
      <c r="B3980" s="3"/>
    </row>
    <row r="3981" spans="2:2" x14ac:dyDescent="0.25">
      <c r="B3981" s="3"/>
    </row>
    <row r="3982" spans="2:2" x14ac:dyDescent="0.25">
      <c r="B3982" s="3"/>
    </row>
    <row r="3983" spans="2:2" x14ac:dyDescent="0.25">
      <c r="B3983" s="3"/>
    </row>
    <row r="3984" spans="2:2" x14ac:dyDescent="0.25">
      <c r="B3984" s="3"/>
    </row>
    <row r="3985" spans="2:2" x14ac:dyDescent="0.25">
      <c r="B3985" s="3"/>
    </row>
    <row r="3986" spans="2:2" x14ac:dyDescent="0.25">
      <c r="B3986" s="3"/>
    </row>
    <row r="3987" spans="2:2" x14ac:dyDescent="0.25">
      <c r="B3987" s="3"/>
    </row>
    <row r="3988" spans="2:2" x14ac:dyDescent="0.25">
      <c r="B3988" s="3"/>
    </row>
    <row r="3989" spans="2:2" x14ac:dyDescent="0.25">
      <c r="B3989" s="3"/>
    </row>
    <row r="3990" spans="2:2" x14ac:dyDescent="0.25">
      <c r="B3990" s="3"/>
    </row>
    <row r="3991" spans="2:2" x14ac:dyDescent="0.25">
      <c r="B3991" s="3"/>
    </row>
    <row r="3992" spans="2:2" x14ac:dyDescent="0.25">
      <c r="B3992" s="3"/>
    </row>
    <row r="3993" spans="2:2" x14ac:dyDescent="0.25">
      <c r="B3993" s="3"/>
    </row>
    <row r="3994" spans="2:2" x14ac:dyDescent="0.25">
      <c r="B3994" s="3"/>
    </row>
    <row r="3995" spans="2:2" x14ac:dyDescent="0.25">
      <c r="B3995" s="3"/>
    </row>
    <row r="3996" spans="2:2" x14ac:dyDescent="0.25">
      <c r="B3996" s="3"/>
    </row>
    <row r="3997" spans="2:2" x14ac:dyDescent="0.25">
      <c r="B3997" s="3"/>
    </row>
    <row r="3998" spans="2:2" x14ac:dyDescent="0.25">
      <c r="B3998" s="3"/>
    </row>
    <row r="3999" spans="2:2" x14ac:dyDescent="0.25">
      <c r="B3999" s="3"/>
    </row>
    <row r="4000" spans="2:2" x14ac:dyDescent="0.25">
      <c r="B4000" s="3"/>
    </row>
    <row r="4001" spans="2:2" x14ac:dyDescent="0.25">
      <c r="B4001" s="3"/>
    </row>
    <row r="4002" spans="2:2" x14ac:dyDescent="0.25">
      <c r="B4002" s="3"/>
    </row>
    <row r="4003" spans="2:2" x14ac:dyDescent="0.25">
      <c r="B4003" s="3"/>
    </row>
    <row r="4004" spans="2:2" x14ac:dyDescent="0.25">
      <c r="B4004" s="3"/>
    </row>
    <row r="4005" spans="2:2" x14ac:dyDescent="0.25">
      <c r="B4005" s="3"/>
    </row>
    <row r="4006" spans="2:2" x14ac:dyDescent="0.25">
      <c r="B4006" s="3"/>
    </row>
    <row r="4007" spans="2:2" x14ac:dyDescent="0.25">
      <c r="B4007" s="3"/>
    </row>
    <row r="4008" spans="2:2" x14ac:dyDescent="0.25">
      <c r="B4008" s="3"/>
    </row>
    <row r="4009" spans="2:2" x14ac:dyDescent="0.25">
      <c r="B4009" s="3"/>
    </row>
    <row r="4010" spans="2:2" x14ac:dyDescent="0.25">
      <c r="B4010" s="3"/>
    </row>
    <row r="4011" spans="2:2" x14ac:dyDescent="0.25">
      <c r="B4011" s="3"/>
    </row>
    <row r="4012" spans="2:2" x14ac:dyDescent="0.25">
      <c r="B4012" s="3"/>
    </row>
    <row r="4013" spans="2:2" x14ac:dyDescent="0.25">
      <c r="B4013" s="3"/>
    </row>
    <row r="4014" spans="2:2" x14ac:dyDescent="0.25">
      <c r="B4014" s="3"/>
    </row>
    <row r="4015" spans="2:2" x14ac:dyDescent="0.25">
      <c r="B4015" s="3"/>
    </row>
    <row r="4016" spans="2:2" x14ac:dyDescent="0.25">
      <c r="B4016" s="3"/>
    </row>
    <row r="4017" spans="2:2" x14ac:dyDescent="0.25">
      <c r="B4017" s="3"/>
    </row>
    <row r="4018" spans="2:2" x14ac:dyDescent="0.25">
      <c r="B4018" s="3"/>
    </row>
    <row r="4019" spans="2:2" x14ac:dyDescent="0.25">
      <c r="B4019" s="3"/>
    </row>
    <row r="4020" spans="2:2" x14ac:dyDescent="0.25">
      <c r="B4020" s="3"/>
    </row>
    <row r="4021" spans="2:2" x14ac:dyDescent="0.25">
      <c r="B4021" s="3"/>
    </row>
    <row r="4022" spans="2:2" x14ac:dyDescent="0.25">
      <c r="B4022" s="3"/>
    </row>
    <row r="4023" spans="2:2" x14ac:dyDescent="0.25">
      <c r="B4023" s="3"/>
    </row>
    <row r="4024" spans="2:2" x14ac:dyDescent="0.25">
      <c r="B4024" s="3"/>
    </row>
    <row r="4025" spans="2:2" x14ac:dyDescent="0.25">
      <c r="B4025" s="3"/>
    </row>
    <row r="4026" spans="2:2" x14ac:dyDescent="0.25">
      <c r="B4026" s="3"/>
    </row>
    <row r="4027" spans="2:2" x14ac:dyDescent="0.25">
      <c r="B4027" s="3"/>
    </row>
    <row r="4028" spans="2:2" x14ac:dyDescent="0.25">
      <c r="B4028" s="3"/>
    </row>
    <row r="4029" spans="2:2" x14ac:dyDescent="0.25">
      <c r="B4029" s="3"/>
    </row>
    <row r="4030" spans="2:2" x14ac:dyDescent="0.25">
      <c r="B4030" s="3"/>
    </row>
    <row r="4031" spans="2:2" x14ac:dyDescent="0.25">
      <c r="B4031" s="3"/>
    </row>
    <row r="4032" spans="2:2" x14ac:dyDescent="0.25">
      <c r="B4032" s="3"/>
    </row>
    <row r="4033" spans="2:2" x14ac:dyDescent="0.25">
      <c r="B4033" s="3"/>
    </row>
    <row r="4034" spans="2:2" x14ac:dyDescent="0.25">
      <c r="B4034" s="3"/>
    </row>
    <row r="4035" spans="2:2" x14ac:dyDescent="0.25">
      <c r="B4035" s="3"/>
    </row>
    <row r="4036" spans="2:2" x14ac:dyDescent="0.25">
      <c r="B4036" s="3"/>
    </row>
    <row r="4037" spans="2:2" x14ac:dyDescent="0.25">
      <c r="B4037" s="3"/>
    </row>
    <row r="4038" spans="2:2" x14ac:dyDescent="0.25">
      <c r="B4038" s="3"/>
    </row>
    <row r="4039" spans="2:2" x14ac:dyDescent="0.25">
      <c r="B4039" s="3"/>
    </row>
    <row r="4040" spans="2:2" x14ac:dyDescent="0.25">
      <c r="B4040" s="3"/>
    </row>
    <row r="4041" spans="2:2" x14ac:dyDescent="0.25">
      <c r="B4041" s="3"/>
    </row>
    <row r="4042" spans="2:2" x14ac:dyDescent="0.25">
      <c r="B4042" s="3"/>
    </row>
    <row r="4043" spans="2:2" x14ac:dyDescent="0.25">
      <c r="B4043" s="3"/>
    </row>
    <row r="4044" spans="2:2" x14ac:dyDescent="0.25">
      <c r="B4044" s="3"/>
    </row>
    <row r="4045" spans="2:2" x14ac:dyDescent="0.25">
      <c r="B4045" s="3"/>
    </row>
    <row r="4046" spans="2:2" x14ac:dyDescent="0.25">
      <c r="B4046" s="3"/>
    </row>
    <row r="4047" spans="2:2" x14ac:dyDescent="0.25">
      <c r="B4047" s="3"/>
    </row>
    <row r="4048" spans="2:2" x14ac:dyDescent="0.25">
      <c r="B4048" s="3"/>
    </row>
    <row r="4049" spans="2:2" x14ac:dyDescent="0.25">
      <c r="B4049" s="3"/>
    </row>
    <row r="4050" spans="2:2" x14ac:dyDescent="0.25">
      <c r="B4050" s="3"/>
    </row>
    <row r="4051" spans="2:2" x14ac:dyDescent="0.25">
      <c r="B4051" s="3"/>
    </row>
    <row r="4052" spans="2:2" x14ac:dyDescent="0.25">
      <c r="B4052" s="3"/>
    </row>
    <row r="4053" spans="2:2" x14ac:dyDescent="0.25">
      <c r="B4053" s="3"/>
    </row>
    <row r="4054" spans="2:2" x14ac:dyDescent="0.25">
      <c r="B4054" s="3"/>
    </row>
    <row r="4055" spans="2:2" x14ac:dyDescent="0.25">
      <c r="B4055" s="3"/>
    </row>
    <row r="4056" spans="2:2" x14ac:dyDescent="0.25">
      <c r="B4056" s="3"/>
    </row>
    <row r="4057" spans="2:2" x14ac:dyDescent="0.25">
      <c r="B4057" s="3"/>
    </row>
    <row r="4058" spans="2:2" x14ac:dyDescent="0.25">
      <c r="B4058" s="3"/>
    </row>
    <row r="4059" spans="2:2" x14ac:dyDescent="0.25">
      <c r="B4059" s="3"/>
    </row>
    <row r="4060" spans="2:2" x14ac:dyDescent="0.25">
      <c r="B4060" s="3"/>
    </row>
    <row r="4061" spans="2:2" x14ac:dyDescent="0.25">
      <c r="B4061" s="3"/>
    </row>
    <row r="4062" spans="2:2" x14ac:dyDescent="0.25">
      <c r="B4062" s="3"/>
    </row>
    <row r="4063" spans="2:2" x14ac:dyDescent="0.25">
      <c r="B4063" s="3"/>
    </row>
    <row r="4064" spans="2:2" x14ac:dyDescent="0.25">
      <c r="B4064" s="3"/>
    </row>
    <row r="4065" spans="2:2" x14ac:dyDescent="0.25">
      <c r="B4065" s="3"/>
    </row>
    <row r="4066" spans="2:2" x14ac:dyDescent="0.25">
      <c r="B4066" s="3"/>
    </row>
    <row r="4067" spans="2:2" x14ac:dyDescent="0.25">
      <c r="B4067" s="3"/>
    </row>
    <row r="4068" spans="2:2" x14ac:dyDescent="0.25">
      <c r="B4068" s="3"/>
    </row>
    <row r="4069" spans="2:2" x14ac:dyDescent="0.25">
      <c r="B4069" s="3"/>
    </row>
    <row r="4070" spans="2:2" x14ac:dyDescent="0.25">
      <c r="B4070" s="3"/>
    </row>
    <row r="4071" spans="2:2" x14ac:dyDescent="0.25">
      <c r="B4071" s="3"/>
    </row>
    <row r="4072" spans="2:2" x14ac:dyDescent="0.25">
      <c r="B4072" s="3"/>
    </row>
    <row r="4073" spans="2:2" x14ac:dyDescent="0.25">
      <c r="B4073" s="3"/>
    </row>
    <row r="4074" spans="2:2" x14ac:dyDescent="0.25">
      <c r="B4074" s="3"/>
    </row>
    <row r="4075" spans="2:2" x14ac:dyDescent="0.25">
      <c r="B4075" s="3"/>
    </row>
    <row r="4076" spans="2:2" x14ac:dyDescent="0.25">
      <c r="B4076" s="3"/>
    </row>
    <row r="4077" spans="2:2" x14ac:dyDescent="0.25">
      <c r="B4077" s="3"/>
    </row>
    <row r="4078" spans="2:2" x14ac:dyDescent="0.25">
      <c r="B4078" s="3"/>
    </row>
    <row r="4079" spans="2:2" x14ac:dyDescent="0.25">
      <c r="B4079" s="3"/>
    </row>
    <row r="4080" spans="2:2" x14ac:dyDescent="0.25">
      <c r="B4080" s="3"/>
    </row>
    <row r="4081" spans="2:2" x14ac:dyDescent="0.25">
      <c r="B4081" s="3"/>
    </row>
    <row r="4082" spans="2:2" x14ac:dyDescent="0.25">
      <c r="B4082" s="3"/>
    </row>
    <row r="4083" spans="2:2" x14ac:dyDescent="0.25">
      <c r="B4083" s="3"/>
    </row>
    <row r="4084" spans="2:2" x14ac:dyDescent="0.25">
      <c r="B4084" s="3"/>
    </row>
    <row r="4085" spans="2:2" x14ac:dyDescent="0.25">
      <c r="B4085" s="3"/>
    </row>
    <row r="4086" spans="2:2" x14ac:dyDescent="0.25">
      <c r="B4086" s="3"/>
    </row>
    <row r="4087" spans="2:2" x14ac:dyDescent="0.25">
      <c r="B4087" s="3"/>
    </row>
    <row r="4088" spans="2:2" x14ac:dyDescent="0.25">
      <c r="B4088" s="3"/>
    </row>
    <row r="4089" spans="2:2" x14ac:dyDescent="0.25">
      <c r="B4089" s="3"/>
    </row>
    <row r="4090" spans="2:2" x14ac:dyDescent="0.25">
      <c r="B4090" s="3"/>
    </row>
    <row r="4091" spans="2:2" x14ac:dyDescent="0.25">
      <c r="B4091" s="3"/>
    </row>
    <row r="4092" spans="2:2" x14ac:dyDescent="0.25">
      <c r="B4092" s="3"/>
    </row>
    <row r="4093" spans="2:2" x14ac:dyDescent="0.25">
      <c r="B4093" s="3"/>
    </row>
    <row r="4094" spans="2:2" x14ac:dyDescent="0.25">
      <c r="B4094" s="3"/>
    </row>
    <row r="4095" spans="2:2" x14ac:dyDescent="0.25">
      <c r="B4095" s="3"/>
    </row>
    <row r="4096" spans="2:2" x14ac:dyDescent="0.25">
      <c r="B4096" s="3"/>
    </row>
    <row r="4097" spans="2:2" x14ac:dyDescent="0.25">
      <c r="B4097" s="3"/>
    </row>
    <row r="4098" spans="2:2" x14ac:dyDescent="0.25">
      <c r="B4098" s="3"/>
    </row>
    <row r="4099" spans="2:2" x14ac:dyDescent="0.25">
      <c r="B4099" s="3"/>
    </row>
    <row r="4100" spans="2:2" x14ac:dyDescent="0.25">
      <c r="B4100" s="3"/>
    </row>
    <row r="4101" spans="2:2" x14ac:dyDescent="0.25">
      <c r="B4101" s="3"/>
    </row>
    <row r="4102" spans="2:2" x14ac:dyDescent="0.25">
      <c r="B4102" s="3"/>
    </row>
    <row r="4103" spans="2:2" x14ac:dyDescent="0.25">
      <c r="B4103" s="3"/>
    </row>
    <row r="4104" spans="2:2" x14ac:dyDescent="0.25">
      <c r="B4104" s="3"/>
    </row>
    <row r="4105" spans="2:2" x14ac:dyDescent="0.25">
      <c r="B4105" s="3"/>
    </row>
    <row r="4106" spans="2:2" x14ac:dyDescent="0.25">
      <c r="B4106" s="3"/>
    </row>
    <row r="4107" spans="2:2" x14ac:dyDescent="0.25">
      <c r="B4107" s="3"/>
    </row>
    <row r="4108" spans="2:2" x14ac:dyDescent="0.25">
      <c r="B4108" s="3"/>
    </row>
    <row r="4109" spans="2:2" x14ac:dyDescent="0.25">
      <c r="B4109" s="3"/>
    </row>
    <row r="4110" spans="2:2" x14ac:dyDescent="0.25">
      <c r="B4110" s="3"/>
    </row>
    <row r="4111" spans="2:2" x14ac:dyDescent="0.25">
      <c r="B4111" s="3"/>
    </row>
    <row r="4112" spans="2:2" x14ac:dyDescent="0.25">
      <c r="B4112" s="3"/>
    </row>
    <row r="4113" spans="2:2" x14ac:dyDescent="0.25">
      <c r="B4113" s="3"/>
    </row>
    <row r="4114" spans="2:2" x14ac:dyDescent="0.25">
      <c r="B4114" s="3"/>
    </row>
    <row r="4115" spans="2:2" x14ac:dyDescent="0.25">
      <c r="B4115" s="3"/>
    </row>
    <row r="4116" spans="2:2" x14ac:dyDescent="0.25">
      <c r="B4116" s="3"/>
    </row>
    <row r="4117" spans="2:2" x14ac:dyDescent="0.25">
      <c r="B4117" s="3"/>
    </row>
    <row r="4118" spans="2:2" x14ac:dyDescent="0.25">
      <c r="B4118" s="3"/>
    </row>
    <row r="4119" spans="2:2" x14ac:dyDescent="0.25">
      <c r="B4119" s="3"/>
    </row>
    <row r="4120" spans="2:2" x14ac:dyDescent="0.25">
      <c r="B4120" s="3"/>
    </row>
    <row r="4121" spans="2:2" x14ac:dyDescent="0.25">
      <c r="B4121" s="3"/>
    </row>
    <row r="4122" spans="2:2" x14ac:dyDescent="0.25">
      <c r="B4122" s="3"/>
    </row>
    <row r="4123" spans="2:2" x14ac:dyDescent="0.25">
      <c r="B4123" s="3"/>
    </row>
    <row r="4124" spans="2:2" x14ac:dyDescent="0.25">
      <c r="B4124" s="3"/>
    </row>
    <row r="4125" spans="2:2" x14ac:dyDescent="0.25">
      <c r="B4125" s="3"/>
    </row>
    <row r="4126" spans="2:2" x14ac:dyDescent="0.25">
      <c r="B4126" s="3"/>
    </row>
    <row r="4127" spans="2:2" x14ac:dyDescent="0.25">
      <c r="B4127" s="3"/>
    </row>
    <row r="4128" spans="2:2" x14ac:dyDescent="0.25">
      <c r="B4128" s="3"/>
    </row>
    <row r="4129" spans="2:2" x14ac:dyDescent="0.25">
      <c r="B4129" s="3"/>
    </row>
    <row r="4130" spans="2:2" x14ac:dyDescent="0.25">
      <c r="B4130" s="3"/>
    </row>
    <row r="4131" spans="2:2" x14ac:dyDescent="0.25">
      <c r="B4131" s="3"/>
    </row>
    <row r="4132" spans="2:2" x14ac:dyDescent="0.25">
      <c r="B4132" s="3"/>
    </row>
    <row r="4133" spans="2:2" x14ac:dyDescent="0.25">
      <c r="B4133" s="3"/>
    </row>
    <row r="4134" spans="2:2" x14ac:dyDescent="0.25">
      <c r="B4134" s="3"/>
    </row>
    <row r="4135" spans="2:2" x14ac:dyDescent="0.25">
      <c r="B4135" s="3"/>
    </row>
    <row r="4136" spans="2:2" x14ac:dyDescent="0.25">
      <c r="B4136" s="3"/>
    </row>
    <row r="4137" spans="2:2" x14ac:dyDescent="0.25">
      <c r="B4137" s="3"/>
    </row>
    <row r="4138" spans="2:2" x14ac:dyDescent="0.25">
      <c r="B4138" s="3"/>
    </row>
    <row r="4139" spans="2:2" x14ac:dyDescent="0.25">
      <c r="B4139" s="3"/>
    </row>
    <row r="4140" spans="2:2" x14ac:dyDescent="0.25">
      <c r="B4140" s="3"/>
    </row>
    <row r="4141" spans="2:2" x14ac:dyDescent="0.25">
      <c r="B4141" s="3"/>
    </row>
    <row r="4142" spans="2:2" x14ac:dyDescent="0.25">
      <c r="B4142" s="3"/>
    </row>
    <row r="4143" spans="2:2" x14ac:dyDescent="0.25">
      <c r="B4143" s="3"/>
    </row>
    <row r="4144" spans="2:2" x14ac:dyDescent="0.25">
      <c r="B4144" s="3"/>
    </row>
    <row r="4145" spans="2:2" x14ac:dyDescent="0.25">
      <c r="B4145" s="3"/>
    </row>
    <row r="4146" spans="2:2" x14ac:dyDescent="0.25">
      <c r="B4146" s="3"/>
    </row>
    <row r="4147" spans="2:2" x14ac:dyDescent="0.25">
      <c r="B4147" s="3"/>
    </row>
    <row r="4148" spans="2:2" x14ac:dyDescent="0.25">
      <c r="B4148" s="3"/>
    </row>
    <row r="4149" spans="2:2" x14ac:dyDescent="0.25">
      <c r="B4149" s="3"/>
    </row>
    <row r="4150" spans="2:2" x14ac:dyDescent="0.25">
      <c r="B4150" s="3"/>
    </row>
    <row r="4151" spans="2:2" x14ac:dyDescent="0.25">
      <c r="B4151" s="3"/>
    </row>
    <row r="4152" spans="2:2" x14ac:dyDescent="0.25">
      <c r="B4152" s="3"/>
    </row>
    <row r="4153" spans="2:2" x14ac:dyDescent="0.25">
      <c r="B4153" s="3"/>
    </row>
    <row r="4154" spans="2:2" x14ac:dyDescent="0.25">
      <c r="B4154" s="3"/>
    </row>
    <row r="4155" spans="2:2" x14ac:dyDescent="0.25">
      <c r="B4155" s="3"/>
    </row>
    <row r="4156" spans="2:2" x14ac:dyDescent="0.25">
      <c r="B4156" s="3"/>
    </row>
    <row r="4157" spans="2:2" x14ac:dyDescent="0.25">
      <c r="B4157" s="3"/>
    </row>
    <row r="4158" spans="2:2" x14ac:dyDescent="0.25">
      <c r="B4158" s="3"/>
    </row>
    <row r="4159" spans="2:2" x14ac:dyDescent="0.25">
      <c r="B4159" s="3"/>
    </row>
    <row r="4160" spans="2:2" x14ac:dyDescent="0.25">
      <c r="B4160" s="3"/>
    </row>
    <row r="4161" spans="2:2" x14ac:dyDescent="0.25">
      <c r="B4161" s="3"/>
    </row>
    <row r="4162" spans="2:2" x14ac:dyDescent="0.25">
      <c r="B4162" s="3"/>
    </row>
    <row r="4163" spans="2:2" x14ac:dyDescent="0.25">
      <c r="B4163" s="3"/>
    </row>
    <row r="4164" spans="2:2" x14ac:dyDescent="0.25">
      <c r="B4164" s="3"/>
    </row>
    <row r="4165" spans="2:2" x14ac:dyDescent="0.25">
      <c r="B4165" s="3"/>
    </row>
    <row r="4166" spans="2:2" x14ac:dyDescent="0.25">
      <c r="B4166" s="3"/>
    </row>
    <row r="4167" spans="2:2" x14ac:dyDescent="0.25">
      <c r="B4167" s="3"/>
    </row>
    <row r="4168" spans="2:2" x14ac:dyDescent="0.25">
      <c r="B4168" s="3"/>
    </row>
    <row r="4169" spans="2:2" x14ac:dyDescent="0.25">
      <c r="B4169" s="3"/>
    </row>
    <row r="4170" spans="2:2" x14ac:dyDescent="0.25">
      <c r="B4170" s="3"/>
    </row>
    <row r="4171" spans="2:2" x14ac:dyDescent="0.25">
      <c r="B4171" s="3"/>
    </row>
    <row r="4172" spans="2:2" x14ac:dyDescent="0.25">
      <c r="B4172" s="3"/>
    </row>
    <row r="4173" spans="2:2" x14ac:dyDescent="0.25">
      <c r="B4173" s="3"/>
    </row>
    <row r="4174" spans="2:2" x14ac:dyDescent="0.25">
      <c r="B4174" s="3"/>
    </row>
    <row r="4175" spans="2:2" x14ac:dyDescent="0.25">
      <c r="B4175" s="3"/>
    </row>
    <row r="4176" spans="2:2" x14ac:dyDescent="0.25">
      <c r="B4176" s="3"/>
    </row>
    <row r="4177" spans="2:2" x14ac:dyDescent="0.25">
      <c r="B4177" s="3"/>
    </row>
    <row r="4178" spans="2:2" x14ac:dyDescent="0.25">
      <c r="B4178" s="3"/>
    </row>
    <row r="4179" spans="2:2" x14ac:dyDescent="0.25">
      <c r="B4179" s="3"/>
    </row>
    <row r="4180" spans="2:2" x14ac:dyDescent="0.25">
      <c r="B4180" s="3"/>
    </row>
    <row r="4181" spans="2:2" x14ac:dyDescent="0.25">
      <c r="B4181" s="3"/>
    </row>
    <row r="4182" spans="2:2" x14ac:dyDescent="0.25">
      <c r="B4182" s="3"/>
    </row>
    <row r="4183" spans="2:2" x14ac:dyDescent="0.25">
      <c r="B4183" s="3"/>
    </row>
    <row r="4184" spans="2:2" x14ac:dyDescent="0.25">
      <c r="B4184" s="3"/>
    </row>
    <row r="4185" spans="2:2" x14ac:dyDescent="0.25">
      <c r="B4185" s="3"/>
    </row>
    <row r="4186" spans="2:2" x14ac:dyDescent="0.25">
      <c r="B4186" s="3"/>
    </row>
    <row r="4187" spans="2:2" x14ac:dyDescent="0.25">
      <c r="B4187" s="3"/>
    </row>
    <row r="4188" spans="2:2" x14ac:dyDescent="0.25">
      <c r="B4188" s="3"/>
    </row>
    <row r="4189" spans="2:2" x14ac:dyDescent="0.25">
      <c r="B4189" s="3"/>
    </row>
    <row r="4190" spans="2:2" x14ac:dyDescent="0.25">
      <c r="B4190" s="3"/>
    </row>
    <row r="4191" spans="2:2" x14ac:dyDescent="0.25">
      <c r="B4191" s="3"/>
    </row>
    <row r="4192" spans="2:2" x14ac:dyDescent="0.25">
      <c r="B4192" s="3"/>
    </row>
    <row r="4193" spans="2:2" x14ac:dyDescent="0.25">
      <c r="B4193" s="3"/>
    </row>
    <row r="4194" spans="2:2" x14ac:dyDescent="0.25">
      <c r="B4194" s="3"/>
    </row>
    <row r="4195" spans="2:2" x14ac:dyDescent="0.25">
      <c r="B4195" s="3"/>
    </row>
    <row r="4196" spans="2:2" x14ac:dyDescent="0.25">
      <c r="B4196" s="3"/>
    </row>
    <row r="4197" spans="2:2" x14ac:dyDescent="0.25">
      <c r="B4197" s="3"/>
    </row>
    <row r="4198" spans="2:2" x14ac:dyDescent="0.25">
      <c r="B4198" s="3"/>
    </row>
    <row r="4199" spans="2:2" x14ac:dyDescent="0.25">
      <c r="B4199" s="3"/>
    </row>
    <row r="4200" spans="2:2" x14ac:dyDescent="0.25">
      <c r="B4200" s="3"/>
    </row>
    <row r="4201" spans="2:2" x14ac:dyDescent="0.25">
      <c r="B4201" s="3"/>
    </row>
    <row r="4202" spans="2:2" x14ac:dyDescent="0.25">
      <c r="B4202" s="3"/>
    </row>
    <row r="4203" spans="2:2" x14ac:dyDescent="0.25">
      <c r="B4203" s="3"/>
    </row>
    <row r="4204" spans="2:2" x14ac:dyDescent="0.25">
      <c r="B4204" s="3"/>
    </row>
    <row r="4205" spans="2:2" x14ac:dyDescent="0.25">
      <c r="B4205" s="3"/>
    </row>
    <row r="4206" spans="2:2" x14ac:dyDescent="0.25">
      <c r="B4206" s="3"/>
    </row>
    <row r="4207" spans="2:2" x14ac:dyDescent="0.25">
      <c r="B4207" s="3"/>
    </row>
    <row r="4208" spans="2:2" x14ac:dyDescent="0.25">
      <c r="B4208" s="3"/>
    </row>
    <row r="4209" spans="2:2" x14ac:dyDescent="0.25">
      <c r="B4209" s="3"/>
    </row>
    <row r="4210" spans="2:2" x14ac:dyDescent="0.25">
      <c r="B4210" s="3"/>
    </row>
    <row r="4211" spans="2:2" x14ac:dyDescent="0.25">
      <c r="B4211" s="3"/>
    </row>
    <row r="4212" spans="2:2" x14ac:dyDescent="0.25">
      <c r="B4212" s="3"/>
    </row>
    <row r="4213" spans="2:2" x14ac:dyDescent="0.25">
      <c r="B4213" s="3"/>
    </row>
    <row r="4214" spans="2:2" x14ac:dyDescent="0.25">
      <c r="B4214" s="3"/>
    </row>
    <row r="4215" spans="2:2" x14ac:dyDescent="0.25">
      <c r="B4215" s="3"/>
    </row>
    <row r="4216" spans="2:2" x14ac:dyDescent="0.25">
      <c r="B4216" s="3"/>
    </row>
    <row r="4217" spans="2:2" x14ac:dyDescent="0.25">
      <c r="B4217" s="3"/>
    </row>
    <row r="4218" spans="2:2" x14ac:dyDescent="0.25">
      <c r="B4218" s="3"/>
    </row>
    <row r="4219" spans="2:2" x14ac:dyDescent="0.25">
      <c r="B4219" s="3"/>
    </row>
    <row r="4220" spans="2:2" x14ac:dyDescent="0.25">
      <c r="B4220" s="3"/>
    </row>
    <row r="4221" spans="2:2" x14ac:dyDescent="0.25">
      <c r="B4221" s="3"/>
    </row>
    <row r="4222" spans="2:2" x14ac:dyDescent="0.25">
      <c r="B4222" s="3"/>
    </row>
    <row r="4223" spans="2:2" x14ac:dyDescent="0.25">
      <c r="B4223" s="3"/>
    </row>
    <row r="4224" spans="2:2" x14ac:dyDescent="0.25">
      <c r="B4224" s="3"/>
    </row>
    <row r="4225" spans="2:2" x14ac:dyDescent="0.25">
      <c r="B4225" s="3"/>
    </row>
    <row r="4226" spans="2:2" x14ac:dyDescent="0.25">
      <c r="B4226" s="3"/>
    </row>
    <row r="4227" spans="2:2" x14ac:dyDescent="0.25">
      <c r="B4227" s="3"/>
    </row>
    <row r="4228" spans="2:2" x14ac:dyDescent="0.25">
      <c r="B4228" s="3"/>
    </row>
    <row r="4229" spans="2:2" x14ac:dyDescent="0.25">
      <c r="B4229" s="3"/>
    </row>
    <row r="4230" spans="2:2" x14ac:dyDescent="0.25">
      <c r="B4230" s="3"/>
    </row>
    <row r="4231" spans="2:2" x14ac:dyDescent="0.25">
      <c r="B4231" s="3"/>
    </row>
    <row r="4232" spans="2:2" x14ac:dyDescent="0.25">
      <c r="B4232" s="3"/>
    </row>
    <row r="4233" spans="2:2" x14ac:dyDescent="0.25">
      <c r="B4233" s="3"/>
    </row>
    <row r="4234" spans="2:2" x14ac:dyDescent="0.25">
      <c r="B4234" s="3"/>
    </row>
    <row r="4235" spans="2:2" x14ac:dyDescent="0.25">
      <c r="B4235" s="3"/>
    </row>
    <row r="4236" spans="2:2" x14ac:dyDescent="0.25">
      <c r="B4236" s="3"/>
    </row>
    <row r="4237" spans="2:2" x14ac:dyDescent="0.25">
      <c r="B4237" s="3"/>
    </row>
    <row r="4238" spans="2:2" x14ac:dyDescent="0.25">
      <c r="B4238" s="3"/>
    </row>
    <row r="4239" spans="2:2" x14ac:dyDescent="0.25">
      <c r="B4239" s="3"/>
    </row>
    <row r="4240" spans="2:2" x14ac:dyDescent="0.25">
      <c r="B4240" s="3"/>
    </row>
    <row r="4241" spans="2:2" x14ac:dyDescent="0.25">
      <c r="B4241" s="3"/>
    </row>
    <row r="4242" spans="2:2" x14ac:dyDescent="0.25">
      <c r="B4242" s="3"/>
    </row>
    <row r="4243" spans="2:2" x14ac:dyDescent="0.25">
      <c r="B4243" s="3"/>
    </row>
    <row r="4244" spans="2:2" x14ac:dyDescent="0.25">
      <c r="B4244" s="3"/>
    </row>
    <row r="4245" spans="2:2" x14ac:dyDescent="0.25">
      <c r="B4245" s="3"/>
    </row>
    <row r="4246" spans="2:2" x14ac:dyDescent="0.25">
      <c r="B4246" s="3"/>
    </row>
    <row r="4247" spans="2:2" x14ac:dyDescent="0.25">
      <c r="B4247" s="3"/>
    </row>
    <row r="4248" spans="2:2" x14ac:dyDescent="0.25">
      <c r="B4248" s="3"/>
    </row>
    <row r="4249" spans="2:2" x14ac:dyDescent="0.25">
      <c r="B4249" s="3"/>
    </row>
    <row r="4250" spans="2:2" x14ac:dyDescent="0.25">
      <c r="B4250" s="3"/>
    </row>
    <row r="4251" spans="2:2" x14ac:dyDescent="0.25">
      <c r="B4251" s="3"/>
    </row>
    <row r="4252" spans="2:2" x14ac:dyDescent="0.25">
      <c r="B4252" s="3"/>
    </row>
    <row r="4253" spans="2:2" x14ac:dyDescent="0.25">
      <c r="B4253" s="3"/>
    </row>
    <row r="4254" spans="2:2" x14ac:dyDescent="0.25">
      <c r="B4254" s="3"/>
    </row>
    <row r="4255" spans="2:2" x14ac:dyDescent="0.25">
      <c r="B4255" s="3"/>
    </row>
    <row r="4256" spans="2:2" x14ac:dyDescent="0.25">
      <c r="B4256" s="3"/>
    </row>
    <row r="4257" spans="2:2" x14ac:dyDescent="0.25">
      <c r="B4257" s="3"/>
    </row>
    <row r="4258" spans="2:2" x14ac:dyDescent="0.25">
      <c r="B4258" s="3"/>
    </row>
    <row r="4259" spans="2:2" x14ac:dyDescent="0.25">
      <c r="B4259" s="3"/>
    </row>
    <row r="4260" spans="2:2" x14ac:dyDescent="0.25">
      <c r="B4260" s="3"/>
    </row>
    <row r="4261" spans="2:2" x14ac:dyDescent="0.25">
      <c r="B4261" s="3"/>
    </row>
    <row r="4262" spans="2:2" x14ac:dyDescent="0.25">
      <c r="B4262" s="3"/>
    </row>
    <row r="4263" spans="2:2" x14ac:dyDescent="0.25">
      <c r="B4263" s="3"/>
    </row>
    <row r="4264" spans="2:2" x14ac:dyDescent="0.25">
      <c r="B4264" s="3"/>
    </row>
    <row r="4265" spans="2:2" x14ac:dyDescent="0.25">
      <c r="B4265" s="3"/>
    </row>
    <row r="4266" spans="2:2" x14ac:dyDescent="0.25">
      <c r="B4266" s="3"/>
    </row>
    <row r="4267" spans="2:2" x14ac:dyDescent="0.25">
      <c r="B4267" s="3"/>
    </row>
    <row r="4268" spans="2:2" x14ac:dyDescent="0.25">
      <c r="B4268" s="3"/>
    </row>
    <row r="4269" spans="2:2" x14ac:dyDescent="0.25">
      <c r="B4269" s="3"/>
    </row>
    <row r="4270" spans="2:2" x14ac:dyDescent="0.25">
      <c r="B4270" s="3"/>
    </row>
    <row r="4271" spans="2:2" x14ac:dyDescent="0.25">
      <c r="B4271" s="3"/>
    </row>
    <row r="4272" spans="2:2" x14ac:dyDescent="0.25">
      <c r="B4272" s="3"/>
    </row>
    <row r="4273" spans="2:2" x14ac:dyDescent="0.25">
      <c r="B4273" s="3"/>
    </row>
    <row r="4274" spans="2:2" x14ac:dyDescent="0.25">
      <c r="B4274" s="3"/>
    </row>
    <row r="4275" spans="2:2" x14ac:dyDescent="0.25">
      <c r="B4275" s="3"/>
    </row>
    <row r="4276" spans="2:2" x14ac:dyDescent="0.25">
      <c r="B4276" s="3"/>
    </row>
    <row r="4277" spans="2:2" x14ac:dyDescent="0.25">
      <c r="B4277" s="3"/>
    </row>
    <row r="4278" spans="2:2" x14ac:dyDescent="0.25">
      <c r="B4278" s="3"/>
    </row>
    <row r="4279" spans="2:2" x14ac:dyDescent="0.25">
      <c r="B4279" s="3"/>
    </row>
    <row r="4280" spans="2:2" x14ac:dyDescent="0.25">
      <c r="B4280" s="3"/>
    </row>
    <row r="4281" spans="2:2" x14ac:dyDescent="0.25">
      <c r="B4281" s="3"/>
    </row>
    <row r="4282" spans="2:2" x14ac:dyDescent="0.25">
      <c r="B4282" s="3"/>
    </row>
    <row r="4283" spans="2:2" x14ac:dyDescent="0.25">
      <c r="B4283" s="3"/>
    </row>
    <row r="4284" spans="2:2" x14ac:dyDescent="0.25">
      <c r="B4284" s="3"/>
    </row>
    <row r="4285" spans="2:2" x14ac:dyDescent="0.25">
      <c r="B4285" s="3"/>
    </row>
    <row r="4286" spans="2:2" x14ac:dyDescent="0.25">
      <c r="B4286" s="3"/>
    </row>
    <row r="4287" spans="2:2" x14ac:dyDescent="0.25">
      <c r="B4287" s="3"/>
    </row>
    <row r="4288" spans="2:2" x14ac:dyDescent="0.25">
      <c r="B4288" s="3"/>
    </row>
    <row r="4289" spans="2:2" x14ac:dyDescent="0.25">
      <c r="B4289" s="3"/>
    </row>
    <row r="4290" spans="2:2" x14ac:dyDescent="0.25">
      <c r="B4290" s="3"/>
    </row>
    <row r="4291" spans="2:2" x14ac:dyDescent="0.25">
      <c r="B4291" s="3"/>
    </row>
    <row r="4292" spans="2:2" x14ac:dyDescent="0.25">
      <c r="B4292" s="3"/>
    </row>
    <row r="4293" spans="2:2" x14ac:dyDescent="0.25">
      <c r="B4293" s="3"/>
    </row>
    <row r="4294" spans="2:2" x14ac:dyDescent="0.25">
      <c r="B4294" s="3"/>
    </row>
    <row r="4295" spans="2:2" x14ac:dyDescent="0.25">
      <c r="B4295" s="3"/>
    </row>
    <row r="4296" spans="2:2" x14ac:dyDescent="0.25">
      <c r="B4296" s="3"/>
    </row>
    <row r="4297" spans="2:2" x14ac:dyDescent="0.25">
      <c r="B4297" s="3"/>
    </row>
    <row r="4298" spans="2:2" x14ac:dyDescent="0.25">
      <c r="B4298" s="3"/>
    </row>
    <row r="4299" spans="2:2" x14ac:dyDescent="0.25">
      <c r="B4299" s="3"/>
    </row>
    <row r="4300" spans="2:2" x14ac:dyDescent="0.25">
      <c r="B4300" s="3"/>
    </row>
    <row r="4301" spans="2:2" x14ac:dyDescent="0.25">
      <c r="B4301" s="3"/>
    </row>
    <row r="4302" spans="2:2" x14ac:dyDescent="0.25">
      <c r="B4302" s="3"/>
    </row>
    <row r="4303" spans="2:2" x14ac:dyDescent="0.25">
      <c r="B4303" s="3"/>
    </row>
    <row r="4304" spans="2:2" x14ac:dyDescent="0.25">
      <c r="B4304" s="3"/>
    </row>
    <row r="4305" spans="2:2" x14ac:dyDescent="0.25">
      <c r="B4305" s="3"/>
    </row>
    <row r="4306" spans="2:2" x14ac:dyDescent="0.25">
      <c r="B4306" s="3"/>
    </row>
    <row r="4307" spans="2:2" x14ac:dyDescent="0.25">
      <c r="B4307" s="3"/>
    </row>
    <row r="4308" spans="2:2" x14ac:dyDescent="0.25">
      <c r="B4308" s="3"/>
    </row>
    <row r="4309" spans="2:2" x14ac:dyDescent="0.25">
      <c r="B4309" s="3"/>
    </row>
    <row r="4310" spans="2:2" x14ac:dyDescent="0.25">
      <c r="B4310" s="3"/>
    </row>
    <row r="4311" spans="2:2" x14ac:dyDescent="0.25">
      <c r="B4311" s="3"/>
    </row>
    <row r="4312" spans="2:2" x14ac:dyDescent="0.25">
      <c r="B4312" s="3"/>
    </row>
    <row r="4313" spans="2:2" x14ac:dyDescent="0.25">
      <c r="B4313" s="3"/>
    </row>
    <row r="4314" spans="2:2" x14ac:dyDescent="0.25">
      <c r="B4314" s="3"/>
    </row>
    <row r="4315" spans="2:2" x14ac:dyDescent="0.25">
      <c r="B4315" s="3"/>
    </row>
    <row r="4316" spans="2:2" x14ac:dyDescent="0.25">
      <c r="B4316" s="3"/>
    </row>
    <row r="4317" spans="2:2" x14ac:dyDescent="0.25">
      <c r="B4317" s="3"/>
    </row>
    <row r="4318" spans="2:2" x14ac:dyDescent="0.25">
      <c r="B4318" s="3"/>
    </row>
    <row r="4319" spans="2:2" x14ac:dyDescent="0.25">
      <c r="B4319" s="3"/>
    </row>
    <row r="4320" spans="2:2" x14ac:dyDescent="0.25">
      <c r="B4320" s="3"/>
    </row>
    <row r="4321" spans="2:2" x14ac:dyDescent="0.25">
      <c r="B4321" s="3"/>
    </row>
    <row r="4322" spans="2:2" x14ac:dyDescent="0.25">
      <c r="B4322" s="3"/>
    </row>
    <row r="4323" spans="2:2" x14ac:dyDescent="0.25">
      <c r="B4323" s="3"/>
    </row>
    <row r="4324" spans="2:2" x14ac:dyDescent="0.25">
      <c r="B4324" s="3"/>
    </row>
    <row r="4325" spans="2:2" x14ac:dyDescent="0.25">
      <c r="B4325" s="3"/>
    </row>
    <row r="4326" spans="2:2" x14ac:dyDescent="0.25">
      <c r="B4326" s="3"/>
    </row>
    <row r="4327" spans="2:2" x14ac:dyDescent="0.25">
      <c r="B4327" s="3"/>
    </row>
    <row r="4328" spans="2:2" x14ac:dyDescent="0.25">
      <c r="B4328" s="3"/>
    </row>
    <row r="4329" spans="2:2" x14ac:dyDescent="0.25">
      <c r="B4329" s="3"/>
    </row>
    <row r="4330" spans="2:2" x14ac:dyDescent="0.25">
      <c r="B4330" s="3"/>
    </row>
    <row r="4331" spans="2:2" x14ac:dyDescent="0.25">
      <c r="B4331" s="3"/>
    </row>
    <row r="4332" spans="2:2" x14ac:dyDescent="0.25">
      <c r="B4332" s="3"/>
    </row>
    <row r="4333" spans="2:2" x14ac:dyDescent="0.25">
      <c r="B4333" s="3"/>
    </row>
    <row r="4334" spans="2:2" x14ac:dyDescent="0.25">
      <c r="B4334" s="3"/>
    </row>
    <row r="4335" spans="2:2" x14ac:dyDescent="0.25">
      <c r="B4335" s="3"/>
    </row>
    <row r="4336" spans="2:2" x14ac:dyDescent="0.25">
      <c r="B4336" s="3"/>
    </row>
    <row r="4337" spans="2:2" x14ac:dyDescent="0.25">
      <c r="B4337" s="3"/>
    </row>
    <row r="4338" spans="2:2" x14ac:dyDescent="0.25">
      <c r="B4338" s="3"/>
    </row>
    <row r="4339" spans="2:2" x14ac:dyDescent="0.25">
      <c r="B4339" s="3"/>
    </row>
    <row r="4340" spans="2:2" x14ac:dyDescent="0.25">
      <c r="B4340" s="3"/>
    </row>
    <row r="4341" spans="2:2" x14ac:dyDescent="0.25">
      <c r="B4341" s="3"/>
    </row>
    <row r="4342" spans="2:2" x14ac:dyDescent="0.25">
      <c r="B4342" s="3"/>
    </row>
    <row r="4343" spans="2:2" x14ac:dyDescent="0.25">
      <c r="B4343" s="3"/>
    </row>
    <row r="4344" spans="2:2" x14ac:dyDescent="0.25">
      <c r="B4344" s="3"/>
    </row>
    <row r="4345" spans="2:2" x14ac:dyDescent="0.25">
      <c r="B4345" s="3"/>
    </row>
    <row r="4346" spans="2:2" x14ac:dyDescent="0.25">
      <c r="B4346" s="3"/>
    </row>
    <row r="4347" spans="2:2" x14ac:dyDescent="0.25">
      <c r="B4347" s="3"/>
    </row>
    <row r="4348" spans="2:2" x14ac:dyDescent="0.25">
      <c r="B4348" s="3"/>
    </row>
    <row r="4349" spans="2:2" x14ac:dyDescent="0.25">
      <c r="B4349" s="3"/>
    </row>
    <row r="4350" spans="2:2" x14ac:dyDescent="0.25">
      <c r="B4350" s="3"/>
    </row>
    <row r="4351" spans="2:2" x14ac:dyDescent="0.25">
      <c r="B4351" s="3"/>
    </row>
    <row r="4352" spans="2:2" x14ac:dyDescent="0.25">
      <c r="B4352" s="3"/>
    </row>
    <row r="4353" spans="2:2" x14ac:dyDescent="0.25">
      <c r="B4353" s="3"/>
    </row>
    <row r="4354" spans="2:2" x14ac:dyDescent="0.25">
      <c r="B4354" s="3"/>
    </row>
    <row r="4355" spans="2:2" x14ac:dyDescent="0.25">
      <c r="B4355" s="3"/>
    </row>
    <row r="4356" spans="2:2" x14ac:dyDescent="0.25">
      <c r="B4356" s="3"/>
    </row>
    <row r="4357" spans="2:2" x14ac:dyDescent="0.25">
      <c r="B4357" s="3"/>
    </row>
    <row r="4358" spans="2:2" x14ac:dyDescent="0.25">
      <c r="B4358" s="3"/>
    </row>
    <row r="4359" spans="2:2" x14ac:dyDescent="0.25">
      <c r="B4359" s="3"/>
    </row>
    <row r="4360" spans="2:2" x14ac:dyDescent="0.25">
      <c r="B4360" s="3"/>
    </row>
    <row r="4361" spans="2:2" x14ac:dyDescent="0.25">
      <c r="B4361" s="3"/>
    </row>
    <row r="4362" spans="2:2" x14ac:dyDescent="0.25">
      <c r="B4362" s="3"/>
    </row>
    <row r="4363" spans="2:2" x14ac:dyDescent="0.25">
      <c r="B4363" s="3"/>
    </row>
    <row r="4364" spans="2:2" x14ac:dyDescent="0.25">
      <c r="B4364" s="3"/>
    </row>
    <row r="4365" spans="2:2" x14ac:dyDescent="0.25">
      <c r="B4365" s="3"/>
    </row>
    <row r="4366" spans="2:2" x14ac:dyDescent="0.25">
      <c r="B4366" s="3"/>
    </row>
    <row r="4367" spans="2:2" x14ac:dyDescent="0.25">
      <c r="B4367" s="3"/>
    </row>
    <row r="4368" spans="2:2" x14ac:dyDescent="0.25">
      <c r="B4368" s="3"/>
    </row>
    <row r="4369" spans="2:2" x14ac:dyDescent="0.25">
      <c r="B4369" s="3"/>
    </row>
    <row r="4370" spans="2:2" x14ac:dyDescent="0.25">
      <c r="B4370" s="3"/>
    </row>
    <row r="4371" spans="2:2" x14ac:dyDescent="0.25">
      <c r="B4371" s="3"/>
    </row>
    <row r="4372" spans="2:2" x14ac:dyDescent="0.25">
      <c r="B4372" s="3"/>
    </row>
    <row r="4373" spans="2:2" x14ac:dyDescent="0.25">
      <c r="B4373" s="3"/>
    </row>
    <row r="4374" spans="2:2" x14ac:dyDescent="0.25">
      <c r="B4374" s="3"/>
    </row>
    <row r="4375" spans="2:2" x14ac:dyDescent="0.25">
      <c r="B4375" s="3"/>
    </row>
    <row r="4376" spans="2:2" x14ac:dyDescent="0.25">
      <c r="B4376" s="3"/>
    </row>
    <row r="4377" spans="2:2" x14ac:dyDescent="0.25">
      <c r="B4377" s="3"/>
    </row>
    <row r="4378" spans="2:2" x14ac:dyDescent="0.25">
      <c r="B4378" s="3"/>
    </row>
    <row r="4379" spans="2:2" x14ac:dyDescent="0.25">
      <c r="B4379" s="3"/>
    </row>
    <row r="4380" spans="2:2" x14ac:dyDescent="0.25">
      <c r="B4380" s="3"/>
    </row>
    <row r="4381" spans="2:2" x14ac:dyDescent="0.25">
      <c r="B4381" s="3"/>
    </row>
    <row r="4382" spans="2:2" x14ac:dyDescent="0.25">
      <c r="B4382" s="3"/>
    </row>
    <row r="4383" spans="2:2" x14ac:dyDescent="0.25">
      <c r="B4383" s="3"/>
    </row>
    <row r="4384" spans="2:2" x14ac:dyDescent="0.25">
      <c r="B4384" s="3"/>
    </row>
    <row r="4385" spans="2:2" x14ac:dyDescent="0.25">
      <c r="B4385" s="3"/>
    </row>
    <row r="4386" spans="2:2" x14ac:dyDescent="0.25">
      <c r="B4386" s="3"/>
    </row>
    <row r="4387" spans="2:2" x14ac:dyDescent="0.25">
      <c r="B4387" s="3"/>
    </row>
    <row r="4388" spans="2:2" x14ac:dyDescent="0.25">
      <c r="B4388" s="3"/>
    </row>
    <row r="4389" spans="2:2" x14ac:dyDescent="0.25">
      <c r="B4389" s="3"/>
    </row>
    <row r="4390" spans="2:2" x14ac:dyDescent="0.25">
      <c r="B4390" s="3"/>
    </row>
    <row r="4391" spans="2:2" x14ac:dyDescent="0.25">
      <c r="B4391" s="3"/>
    </row>
    <row r="4392" spans="2:2" x14ac:dyDescent="0.25">
      <c r="B4392" s="3"/>
    </row>
    <row r="4393" spans="2:2" x14ac:dyDescent="0.25">
      <c r="B4393" s="3"/>
    </row>
    <row r="4394" spans="2:2" x14ac:dyDescent="0.25">
      <c r="B4394" s="3"/>
    </row>
    <row r="4395" spans="2:2" x14ac:dyDescent="0.25">
      <c r="B4395" s="3"/>
    </row>
    <row r="4396" spans="2:2" x14ac:dyDescent="0.25">
      <c r="B4396" s="3"/>
    </row>
    <row r="4397" spans="2:2" x14ac:dyDescent="0.25">
      <c r="B4397" s="3"/>
    </row>
    <row r="4398" spans="2:2" x14ac:dyDescent="0.25">
      <c r="B4398" s="3"/>
    </row>
    <row r="4399" spans="2:2" x14ac:dyDescent="0.25">
      <c r="B4399" s="3"/>
    </row>
    <row r="4400" spans="2:2" x14ac:dyDescent="0.25">
      <c r="B4400" s="3"/>
    </row>
    <row r="4401" spans="2:2" x14ac:dyDescent="0.25">
      <c r="B4401" s="3"/>
    </row>
    <row r="4402" spans="2:2" x14ac:dyDescent="0.25">
      <c r="B4402" s="3"/>
    </row>
    <row r="4403" spans="2:2" x14ac:dyDescent="0.25">
      <c r="B4403" s="3"/>
    </row>
    <row r="4404" spans="2:2" x14ac:dyDescent="0.25">
      <c r="B4404" s="3"/>
    </row>
    <row r="4405" spans="2:2" x14ac:dyDescent="0.25">
      <c r="B4405" s="3"/>
    </row>
    <row r="4406" spans="2:2" x14ac:dyDescent="0.25">
      <c r="B4406" s="3"/>
    </row>
    <row r="4407" spans="2:2" x14ac:dyDescent="0.25">
      <c r="B4407" s="3"/>
    </row>
    <row r="4408" spans="2:2" x14ac:dyDescent="0.25">
      <c r="B4408" s="3"/>
    </row>
    <row r="4409" spans="2:2" x14ac:dyDescent="0.25">
      <c r="B4409" s="3"/>
    </row>
    <row r="4410" spans="2:2" x14ac:dyDescent="0.25">
      <c r="B4410" s="3"/>
    </row>
    <row r="4411" spans="2:2" x14ac:dyDescent="0.25">
      <c r="B4411" s="3"/>
    </row>
    <row r="4412" spans="2:2" x14ac:dyDescent="0.25">
      <c r="B4412" s="3"/>
    </row>
    <row r="4413" spans="2:2" x14ac:dyDescent="0.25">
      <c r="B4413" s="3"/>
    </row>
    <row r="4414" spans="2:2" x14ac:dyDescent="0.25">
      <c r="B4414" s="3"/>
    </row>
    <row r="4415" spans="2:2" x14ac:dyDescent="0.25">
      <c r="B4415" s="3"/>
    </row>
    <row r="4416" spans="2:2" x14ac:dyDescent="0.25">
      <c r="B4416" s="3"/>
    </row>
    <row r="4417" spans="2:2" x14ac:dyDescent="0.25">
      <c r="B4417" s="3"/>
    </row>
    <row r="4418" spans="2:2" x14ac:dyDescent="0.25">
      <c r="B4418" s="3"/>
    </row>
    <row r="4419" spans="2:2" x14ac:dyDescent="0.25">
      <c r="B4419" s="3"/>
    </row>
    <row r="4420" spans="2:2" x14ac:dyDescent="0.25">
      <c r="B4420" s="3"/>
    </row>
    <row r="4421" spans="2:2" x14ac:dyDescent="0.25">
      <c r="B4421" s="3"/>
    </row>
    <row r="4422" spans="2:2" x14ac:dyDescent="0.25">
      <c r="B4422" s="3"/>
    </row>
    <row r="4423" spans="2:2" x14ac:dyDescent="0.25">
      <c r="B4423" s="3"/>
    </row>
    <row r="4424" spans="2:2" x14ac:dyDescent="0.25">
      <c r="B4424" s="3"/>
    </row>
    <row r="4425" spans="2:2" x14ac:dyDescent="0.25">
      <c r="B4425" s="3"/>
    </row>
    <row r="4426" spans="2:2" x14ac:dyDescent="0.25">
      <c r="B4426" s="3"/>
    </row>
    <row r="4427" spans="2:2" x14ac:dyDescent="0.25">
      <c r="B4427" s="3"/>
    </row>
    <row r="4428" spans="2:2" x14ac:dyDescent="0.25">
      <c r="B4428" s="3"/>
    </row>
    <row r="4429" spans="2:2" x14ac:dyDescent="0.25">
      <c r="B4429" s="3"/>
    </row>
    <row r="4430" spans="2:2" x14ac:dyDescent="0.25">
      <c r="B4430" s="3"/>
    </row>
    <row r="4431" spans="2:2" x14ac:dyDescent="0.25">
      <c r="B4431" s="3"/>
    </row>
    <row r="4432" spans="2:2" x14ac:dyDescent="0.25">
      <c r="B4432" s="3"/>
    </row>
    <row r="4433" spans="2:2" x14ac:dyDescent="0.25">
      <c r="B4433" s="3"/>
    </row>
    <row r="4434" spans="2:2" x14ac:dyDescent="0.25">
      <c r="B4434" s="3"/>
    </row>
    <row r="4435" spans="2:2" x14ac:dyDescent="0.25">
      <c r="B4435" s="3"/>
    </row>
    <row r="4436" spans="2:2" x14ac:dyDescent="0.25">
      <c r="B4436" s="3"/>
    </row>
    <row r="4437" spans="2:2" x14ac:dyDescent="0.25">
      <c r="B4437" s="3"/>
    </row>
    <row r="4438" spans="2:2" x14ac:dyDescent="0.25">
      <c r="B4438" s="3"/>
    </row>
    <row r="4439" spans="2:2" x14ac:dyDescent="0.25">
      <c r="B4439" s="3"/>
    </row>
    <row r="4440" spans="2:2" x14ac:dyDescent="0.25">
      <c r="B4440" s="3"/>
    </row>
    <row r="4441" spans="2:2" x14ac:dyDescent="0.25">
      <c r="B4441" s="3"/>
    </row>
    <row r="4442" spans="2:2" x14ac:dyDescent="0.25">
      <c r="B4442" s="3"/>
    </row>
    <row r="4443" spans="2:2" x14ac:dyDescent="0.25">
      <c r="B4443" s="3"/>
    </row>
    <row r="4444" spans="2:2" x14ac:dyDescent="0.25">
      <c r="B4444" s="3"/>
    </row>
    <row r="4445" spans="2:2" x14ac:dyDescent="0.25">
      <c r="B4445" s="3"/>
    </row>
    <row r="4446" spans="2:2" x14ac:dyDescent="0.25">
      <c r="B4446" s="3"/>
    </row>
    <row r="4447" spans="2:2" x14ac:dyDescent="0.25">
      <c r="B4447" s="3"/>
    </row>
    <row r="4448" spans="2:2" x14ac:dyDescent="0.25">
      <c r="B4448" s="3"/>
    </row>
    <row r="4449" spans="2:2" x14ac:dyDescent="0.25">
      <c r="B4449" s="3"/>
    </row>
    <row r="4450" spans="2:2" x14ac:dyDescent="0.25">
      <c r="B4450" s="3"/>
    </row>
    <row r="4451" spans="2:2" x14ac:dyDescent="0.25">
      <c r="B4451" s="3"/>
    </row>
    <row r="4452" spans="2:2" x14ac:dyDescent="0.25">
      <c r="B4452" s="3"/>
    </row>
    <row r="4453" spans="2:2" x14ac:dyDescent="0.25">
      <c r="B4453" s="3"/>
    </row>
    <row r="4454" spans="2:2" x14ac:dyDescent="0.25">
      <c r="B4454" s="3"/>
    </row>
    <row r="4455" spans="2:2" x14ac:dyDescent="0.25">
      <c r="B4455" s="3"/>
    </row>
    <row r="4456" spans="2:2" x14ac:dyDescent="0.25">
      <c r="B4456" s="3"/>
    </row>
    <row r="4457" spans="2:2" x14ac:dyDescent="0.25">
      <c r="B4457" s="3"/>
    </row>
    <row r="4458" spans="2:2" x14ac:dyDescent="0.25">
      <c r="B4458" s="3"/>
    </row>
    <row r="4459" spans="2:2" x14ac:dyDescent="0.25">
      <c r="B4459" s="3"/>
    </row>
    <row r="4460" spans="2:2" x14ac:dyDescent="0.25">
      <c r="B4460" s="3"/>
    </row>
    <row r="4461" spans="2:2" x14ac:dyDescent="0.25">
      <c r="B4461" s="3"/>
    </row>
    <row r="4462" spans="2:2" x14ac:dyDescent="0.25">
      <c r="B4462" s="3"/>
    </row>
    <row r="4463" spans="2:2" x14ac:dyDescent="0.25">
      <c r="B4463" s="3"/>
    </row>
    <row r="4464" spans="2:2" x14ac:dyDescent="0.25">
      <c r="B4464" s="3"/>
    </row>
    <row r="4465" spans="2:2" x14ac:dyDescent="0.25">
      <c r="B4465" s="3"/>
    </row>
    <row r="4466" spans="2:2" x14ac:dyDescent="0.25">
      <c r="B4466" s="3"/>
    </row>
    <row r="4467" spans="2:2" x14ac:dyDescent="0.25">
      <c r="B4467" s="3"/>
    </row>
    <row r="4468" spans="2:2" x14ac:dyDescent="0.25">
      <c r="B4468" s="3"/>
    </row>
    <row r="4469" spans="2:2" x14ac:dyDescent="0.25">
      <c r="B4469" s="3"/>
    </row>
    <row r="4470" spans="2:2" x14ac:dyDescent="0.25">
      <c r="B4470" s="3"/>
    </row>
    <row r="4471" spans="2:2" x14ac:dyDescent="0.25">
      <c r="B4471" s="3"/>
    </row>
    <row r="4472" spans="2:2" x14ac:dyDescent="0.25">
      <c r="B4472" s="3"/>
    </row>
    <row r="4473" spans="2:2" x14ac:dyDescent="0.25">
      <c r="B4473" s="3"/>
    </row>
    <row r="4474" spans="2:2" x14ac:dyDescent="0.25">
      <c r="B4474" s="3"/>
    </row>
    <row r="4475" spans="2:2" x14ac:dyDescent="0.25">
      <c r="B4475" s="3"/>
    </row>
    <row r="4476" spans="2:2" x14ac:dyDescent="0.25">
      <c r="B4476" s="3"/>
    </row>
    <row r="4477" spans="2:2" x14ac:dyDescent="0.25">
      <c r="B4477" s="3"/>
    </row>
    <row r="4478" spans="2:2" x14ac:dyDescent="0.25">
      <c r="B4478" s="3"/>
    </row>
    <row r="4479" spans="2:2" x14ac:dyDescent="0.25">
      <c r="B4479" s="3"/>
    </row>
    <row r="4480" spans="2:2" x14ac:dyDescent="0.25">
      <c r="B4480" s="3"/>
    </row>
    <row r="4481" spans="2:2" x14ac:dyDescent="0.25">
      <c r="B4481" s="3"/>
    </row>
    <row r="4482" spans="2:2" x14ac:dyDescent="0.25">
      <c r="B4482" s="3"/>
    </row>
    <row r="4483" spans="2:2" x14ac:dyDescent="0.25">
      <c r="B4483" s="3"/>
    </row>
    <row r="4484" spans="2:2" x14ac:dyDescent="0.25">
      <c r="B4484" s="3"/>
    </row>
    <row r="4485" spans="2:2" x14ac:dyDescent="0.25">
      <c r="B4485" s="3"/>
    </row>
    <row r="4486" spans="2:2" x14ac:dyDescent="0.25">
      <c r="B4486" s="3"/>
    </row>
    <row r="4487" spans="2:2" x14ac:dyDescent="0.25">
      <c r="B4487" s="3"/>
    </row>
    <row r="4488" spans="2:2" x14ac:dyDescent="0.25">
      <c r="B4488" s="3"/>
    </row>
    <row r="4489" spans="2:2" x14ac:dyDescent="0.25">
      <c r="B4489" s="3"/>
    </row>
    <row r="4490" spans="2:2" x14ac:dyDescent="0.25">
      <c r="B4490" s="3"/>
    </row>
    <row r="4491" spans="2:2" x14ac:dyDescent="0.25">
      <c r="B4491" s="3"/>
    </row>
    <row r="4492" spans="2:2" x14ac:dyDescent="0.25">
      <c r="B4492" s="3"/>
    </row>
    <row r="4493" spans="2:2" x14ac:dyDescent="0.25">
      <c r="B4493" s="3"/>
    </row>
    <row r="4494" spans="2:2" x14ac:dyDescent="0.25">
      <c r="B4494" s="3"/>
    </row>
    <row r="4495" spans="2:2" x14ac:dyDescent="0.25">
      <c r="B4495" s="3"/>
    </row>
    <row r="4496" spans="2:2" x14ac:dyDescent="0.25">
      <c r="B4496" s="3"/>
    </row>
    <row r="4497" spans="2:2" x14ac:dyDescent="0.25">
      <c r="B4497" s="3"/>
    </row>
    <row r="4498" spans="2:2" x14ac:dyDescent="0.25">
      <c r="B4498" s="3"/>
    </row>
    <row r="4499" spans="2:2" x14ac:dyDescent="0.25">
      <c r="B4499" s="3"/>
    </row>
    <row r="4500" spans="2:2" x14ac:dyDescent="0.25">
      <c r="B4500" s="3"/>
    </row>
    <row r="4501" spans="2:2" x14ac:dyDescent="0.25">
      <c r="B4501" s="3"/>
    </row>
    <row r="4502" spans="2:2" x14ac:dyDescent="0.25">
      <c r="B4502" s="3"/>
    </row>
    <row r="4503" spans="2:2" x14ac:dyDescent="0.25">
      <c r="B4503" s="3"/>
    </row>
    <row r="4504" spans="2:2" x14ac:dyDescent="0.25">
      <c r="B4504" s="3"/>
    </row>
    <row r="4505" spans="2:2" x14ac:dyDescent="0.25">
      <c r="B4505" s="3"/>
    </row>
    <row r="4506" spans="2:2" x14ac:dyDescent="0.25">
      <c r="B4506" s="3"/>
    </row>
    <row r="4507" spans="2:2" x14ac:dyDescent="0.25">
      <c r="B4507" s="3"/>
    </row>
    <row r="4508" spans="2:2" x14ac:dyDescent="0.25">
      <c r="B4508" s="3"/>
    </row>
    <row r="4509" spans="2:2" x14ac:dyDescent="0.25">
      <c r="B4509" s="3"/>
    </row>
    <row r="4510" spans="2:2" x14ac:dyDescent="0.25">
      <c r="B4510" s="3"/>
    </row>
    <row r="4511" spans="2:2" x14ac:dyDescent="0.25">
      <c r="B4511" s="3"/>
    </row>
    <row r="4512" spans="2:2" x14ac:dyDescent="0.25">
      <c r="B4512" s="3"/>
    </row>
    <row r="4513" spans="2:2" x14ac:dyDescent="0.25">
      <c r="B4513" s="3"/>
    </row>
    <row r="4514" spans="2:2" x14ac:dyDescent="0.25">
      <c r="B4514" s="3"/>
    </row>
    <row r="4515" spans="2:2" x14ac:dyDescent="0.25">
      <c r="B4515" s="3"/>
    </row>
    <row r="4516" spans="2:2" x14ac:dyDescent="0.25">
      <c r="B4516" s="3"/>
    </row>
    <row r="4517" spans="2:2" x14ac:dyDescent="0.25">
      <c r="B4517" s="3"/>
    </row>
    <row r="4518" spans="2:2" x14ac:dyDescent="0.25">
      <c r="B4518" s="3"/>
    </row>
    <row r="4519" spans="2:2" x14ac:dyDescent="0.25">
      <c r="B4519" s="3"/>
    </row>
    <row r="4520" spans="2:2" x14ac:dyDescent="0.25">
      <c r="B4520" s="3"/>
    </row>
    <row r="4521" spans="2:2" x14ac:dyDescent="0.25">
      <c r="B4521" s="3"/>
    </row>
    <row r="4522" spans="2:2" x14ac:dyDescent="0.25">
      <c r="B4522" s="3"/>
    </row>
    <row r="4523" spans="2:2" x14ac:dyDescent="0.25">
      <c r="B4523" s="3"/>
    </row>
    <row r="4524" spans="2:2" x14ac:dyDescent="0.25">
      <c r="B4524" s="3"/>
    </row>
    <row r="4525" spans="2:2" x14ac:dyDescent="0.25">
      <c r="B4525" s="3"/>
    </row>
    <row r="4526" spans="2:2" x14ac:dyDescent="0.25">
      <c r="B4526" s="3"/>
    </row>
    <row r="4527" spans="2:2" x14ac:dyDescent="0.25">
      <c r="B4527" s="3"/>
    </row>
    <row r="4528" spans="2:2" x14ac:dyDescent="0.25">
      <c r="B4528" s="3"/>
    </row>
    <row r="4529" spans="2:2" x14ac:dyDescent="0.25">
      <c r="B4529" s="3"/>
    </row>
    <row r="4530" spans="2:2" x14ac:dyDescent="0.25">
      <c r="B4530" s="3"/>
    </row>
    <row r="4531" spans="2:2" x14ac:dyDescent="0.25">
      <c r="B4531" s="3"/>
    </row>
    <row r="4532" spans="2:2" x14ac:dyDescent="0.25">
      <c r="B4532" s="3"/>
    </row>
    <row r="4533" spans="2:2" x14ac:dyDescent="0.25">
      <c r="B4533" s="3"/>
    </row>
    <row r="4534" spans="2:2" x14ac:dyDescent="0.25">
      <c r="B4534" s="3"/>
    </row>
    <row r="4535" spans="2:2" x14ac:dyDescent="0.25">
      <c r="B4535" s="3"/>
    </row>
    <row r="4536" spans="2:2" x14ac:dyDescent="0.25">
      <c r="B4536" s="3"/>
    </row>
    <row r="4537" spans="2:2" x14ac:dyDescent="0.25">
      <c r="B4537" s="3"/>
    </row>
    <row r="4538" spans="2:2" x14ac:dyDescent="0.25">
      <c r="B4538" s="3"/>
    </row>
    <row r="4539" spans="2:2" x14ac:dyDescent="0.25">
      <c r="B4539" s="3"/>
    </row>
    <row r="4540" spans="2:2" x14ac:dyDescent="0.25">
      <c r="B4540" s="3"/>
    </row>
    <row r="4541" spans="2:2" x14ac:dyDescent="0.25">
      <c r="B4541" s="3"/>
    </row>
    <row r="4542" spans="2:2" x14ac:dyDescent="0.25">
      <c r="B4542" s="3"/>
    </row>
    <row r="4543" spans="2:2" x14ac:dyDescent="0.25">
      <c r="B4543" s="3"/>
    </row>
    <row r="4544" spans="2:2" x14ac:dyDescent="0.25">
      <c r="B4544" s="3"/>
    </row>
    <row r="4545" spans="2:2" x14ac:dyDescent="0.25">
      <c r="B4545" s="3"/>
    </row>
    <row r="4546" spans="2:2" x14ac:dyDescent="0.25">
      <c r="B4546" s="3"/>
    </row>
    <row r="4547" spans="2:2" x14ac:dyDescent="0.25">
      <c r="B4547" s="3"/>
    </row>
    <row r="4548" spans="2:2" x14ac:dyDescent="0.25">
      <c r="B4548" s="3"/>
    </row>
    <row r="4549" spans="2:2" x14ac:dyDescent="0.25">
      <c r="B4549" s="3"/>
    </row>
    <row r="4550" spans="2:2" x14ac:dyDescent="0.25">
      <c r="B4550" s="3"/>
    </row>
    <row r="4551" spans="2:2" x14ac:dyDescent="0.25">
      <c r="B4551" s="3"/>
    </row>
    <row r="4552" spans="2:2" x14ac:dyDescent="0.25">
      <c r="B4552" s="3"/>
    </row>
    <row r="4553" spans="2:2" x14ac:dyDescent="0.25">
      <c r="B4553" s="3"/>
    </row>
    <row r="4554" spans="2:2" x14ac:dyDescent="0.25">
      <c r="B4554" s="3"/>
    </row>
    <row r="4555" spans="2:2" x14ac:dyDescent="0.25">
      <c r="B4555" s="3"/>
    </row>
    <row r="4556" spans="2:2" x14ac:dyDescent="0.25">
      <c r="B4556" s="3"/>
    </row>
    <row r="4557" spans="2:2" x14ac:dyDescent="0.25">
      <c r="B4557" s="3"/>
    </row>
    <row r="4558" spans="2:2" x14ac:dyDescent="0.25">
      <c r="B4558" s="3"/>
    </row>
    <row r="4559" spans="2:2" x14ac:dyDescent="0.25">
      <c r="B4559" s="3"/>
    </row>
    <row r="4560" spans="2:2" x14ac:dyDescent="0.25">
      <c r="B4560" s="3"/>
    </row>
    <row r="4561" spans="2:2" x14ac:dyDescent="0.25">
      <c r="B4561" s="3"/>
    </row>
    <row r="4562" spans="2:2" x14ac:dyDescent="0.25">
      <c r="B4562" s="3"/>
    </row>
    <row r="4563" spans="2:2" x14ac:dyDescent="0.25">
      <c r="B4563" s="3"/>
    </row>
    <row r="4564" spans="2:2" x14ac:dyDescent="0.25">
      <c r="B4564" s="3"/>
    </row>
    <row r="4565" spans="2:2" x14ac:dyDescent="0.25">
      <c r="B4565" s="3"/>
    </row>
    <row r="4566" spans="2:2" x14ac:dyDescent="0.25">
      <c r="B4566" s="3"/>
    </row>
    <row r="4567" spans="2:2" x14ac:dyDescent="0.25">
      <c r="B4567" s="3"/>
    </row>
    <row r="4568" spans="2:2" x14ac:dyDescent="0.25">
      <c r="B4568" s="3"/>
    </row>
    <row r="4569" spans="2:2" x14ac:dyDescent="0.25">
      <c r="B4569" s="3"/>
    </row>
    <row r="4570" spans="2:2" x14ac:dyDescent="0.25">
      <c r="B4570" s="3"/>
    </row>
    <row r="4571" spans="2:2" x14ac:dyDescent="0.25">
      <c r="B4571" s="3"/>
    </row>
    <row r="4572" spans="2:2" x14ac:dyDescent="0.25">
      <c r="B4572" s="3"/>
    </row>
    <row r="4573" spans="2:2" x14ac:dyDescent="0.25">
      <c r="B4573" s="3"/>
    </row>
    <row r="4574" spans="2:2" x14ac:dyDescent="0.25">
      <c r="B4574" s="3"/>
    </row>
    <row r="4575" spans="2:2" x14ac:dyDescent="0.25">
      <c r="B4575" s="3"/>
    </row>
    <row r="4576" spans="2:2" x14ac:dyDescent="0.25">
      <c r="B4576" s="3"/>
    </row>
    <row r="4577" spans="2:2" x14ac:dyDescent="0.25">
      <c r="B4577" s="3"/>
    </row>
    <row r="4578" spans="2:2" x14ac:dyDescent="0.25">
      <c r="B4578" s="3"/>
    </row>
    <row r="4579" spans="2:2" x14ac:dyDescent="0.25">
      <c r="B4579" s="3"/>
    </row>
    <row r="4580" spans="2:2" x14ac:dyDescent="0.25">
      <c r="B4580" s="3"/>
    </row>
    <row r="4581" spans="2:2" x14ac:dyDescent="0.25">
      <c r="B4581" s="3"/>
    </row>
    <row r="4582" spans="2:2" x14ac:dyDescent="0.25">
      <c r="B4582" s="3"/>
    </row>
    <row r="4583" spans="2:2" x14ac:dyDescent="0.25">
      <c r="B4583" s="3"/>
    </row>
    <row r="4584" spans="2:2" x14ac:dyDescent="0.25">
      <c r="B4584" s="3"/>
    </row>
    <row r="4585" spans="2:2" x14ac:dyDescent="0.25">
      <c r="B4585" s="3"/>
    </row>
    <row r="4586" spans="2:2" x14ac:dyDescent="0.25">
      <c r="B4586" s="3"/>
    </row>
    <row r="4587" spans="2:2" x14ac:dyDescent="0.25">
      <c r="B4587" s="3"/>
    </row>
    <row r="4588" spans="2:2" x14ac:dyDescent="0.25">
      <c r="B4588" s="3"/>
    </row>
    <row r="4589" spans="2:2" x14ac:dyDescent="0.25">
      <c r="B4589" s="3"/>
    </row>
    <row r="4590" spans="2:2" x14ac:dyDescent="0.25">
      <c r="B4590" s="3"/>
    </row>
    <row r="4591" spans="2:2" x14ac:dyDescent="0.25">
      <c r="B4591" s="3"/>
    </row>
    <row r="4592" spans="2:2" x14ac:dyDescent="0.25">
      <c r="B4592" s="3"/>
    </row>
    <row r="4593" spans="2:2" x14ac:dyDescent="0.25">
      <c r="B4593" s="3"/>
    </row>
    <row r="4594" spans="2:2" x14ac:dyDescent="0.25">
      <c r="B4594" s="3"/>
    </row>
    <row r="4595" spans="2:2" x14ac:dyDescent="0.25">
      <c r="B4595" s="3"/>
    </row>
    <row r="4596" spans="2:2" x14ac:dyDescent="0.25">
      <c r="B4596" s="3"/>
    </row>
    <row r="4597" spans="2:2" x14ac:dyDescent="0.25">
      <c r="B4597" s="3"/>
    </row>
    <row r="4598" spans="2:2" x14ac:dyDescent="0.25">
      <c r="B4598" s="3"/>
    </row>
    <row r="4599" spans="2:2" x14ac:dyDescent="0.25">
      <c r="B4599" s="3"/>
    </row>
    <row r="4600" spans="2:2" x14ac:dyDescent="0.25">
      <c r="B4600" s="3"/>
    </row>
    <row r="4601" spans="2:2" x14ac:dyDescent="0.25">
      <c r="B4601" s="3"/>
    </row>
    <row r="4602" spans="2:2" x14ac:dyDescent="0.25">
      <c r="B4602" s="3"/>
    </row>
    <row r="4603" spans="2:2" x14ac:dyDescent="0.25">
      <c r="B4603" s="3"/>
    </row>
    <row r="4604" spans="2:2" x14ac:dyDescent="0.25">
      <c r="B4604" s="3"/>
    </row>
    <row r="4605" spans="2:2" x14ac:dyDescent="0.25">
      <c r="B4605" s="3"/>
    </row>
    <row r="4606" spans="2:2" x14ac:dyDescent="0.25">
      <c r="B4606" s="3"/>
    </row>
    <row r="4607" spans="2:2" x14ac:dyDescent="0.25">
      <c r="B4607" s="3"/>
    </row>
    <row r="4608" spans="2:2" x14ac:dyDescent="0.25">
      <c r="B4608" s="3"/>
    </row>
    <row r="4609" spans="2:2" x14ac:dyDescent="0.25">
      <c r="B4609" s="3"/>
    </row>
    <row r="4610" spans="2:2" x14ac:dyDescent="0.25">
      <c r="B4610" s="3"/>
    </row>
    <row r="4611" spans="2:2" x14ac:dyDescent="0.25">
      <c r="B4611" s="3"/>
    </row>
    <row r="4612" spans="2:2" x14ac:dyDescent="0.25">
      <c r="B4612" s="3"/>
    </row>
    <row r="4613" spans="2:2" x14ac:dyDescent="0.25">
      <c r="B4613" s="3"/>
    </row>
    <row r="4614" spans="2:2" x14ac:dyDescent="0.25">
      <c r="B4614" s="3"/>
    </row>
    <row r="4615" spans="2:2" x14ac:dyDescent="0.25">
      <c r="B4615" s="3"/>
    </row>
    <row r="4616" spans="2:2" x14ac:dyDescent="0.25">
      <c r="B4616" s="3"/>
    </row>
    <row r="4617" spans="2:2" x14ac:dyDescent="0.25">
      <c r="B4617" s="3"/>
    </row>
    <row r="4618" spans="2:2" x14ac:dyDescent="0.25">
      <c r="B4618" s="3"/>
    </row>
    <row r="4619" spans="2:2" x14ac:dyDescent="0.25">
      <c r="B4619" s="3"/>
    </row>
    <row r="4620" spans="2:2" x14ac:dyDescent="0.25">
      <c r="B4620" s="3"/>
    </row>
    <row r="4621" spans="2:2" x14ac:dyDescent="0.25">
      <c r="B4621" s="3"/>
    </row>
    <row r="4622" spans="2:2" x14ac:dyDescent="0.25">
      <c r="B4622" s="3"/>
    </row>
    <row r="4623" spans="2:2" x14ac:dyDescent="0.25">
      <c r="B4623" s="3"/>
    </row>
    <row r="4624" spans="2:2" x14ac:dyDescent="0.25">
      <c r="B4624" s="3"/>
    </row>
    <row r="4625" spans="2:2" x14ac:dyDescent="0.25">
      <c r="B4625" s="3"/>
    </row>
    <row r="4626" spans="2:2" x14ac:dyDescent="0.25">
      <c r="B4626" s="3"/>
    </row>
    <row r="4627" spans="2:2" x14ac:dyDescent="0.25">
      <c r="B4627" s="3"/>
    </row>
    <row r="4628" spans="2:2" x14ac:dyDescent="0.25">
      <c r="B4628" s="3"/>
    </row>
    <row r="4629" spans="2:2" x14ac:dyDescent="0.25">
      <c r="B4629" s="3"/>
    </row>
    <row r="4630" spans="2:2" x14ac:dyDescent="0.25">
      <c r="B4630" s="3"/>
    </row>
    <row r="4631" spans="2:2" x14ac:dyDescent="0.25">
      <c r="B4631" s="3"/>
    </row>
    <row r="4632" spans="2:2" x14ac:dyDescent="0.25">
      <c r="B4632" s="3"/>
    </row>
    <row r="4633" spans="2:2" x14ac:dyDescent="0.25">
      <c r="B4633" s="3"/>
    </row>
    <row r="4634" spans="2:2" x14ac:dyDescent="0.25">
      <c r="B4634" s="3"/>
    </row>
    <row r="4635" spans="2:2" x14ac:dyDescent="0.25">
      <c r="B4635" s="3"/>
    </row>
    <row r="4636" spans="2:2" x14ac:dyDescent="0.25">
      <c r="B4636" s="3"/>
    </row>
    <row r="4637" spans="2:2" x14ac:dyDescent="0.25">
      <c r="B4637" s="3"/>
    </row>
    <row r="4638" spans="2:2" x14ac:dyDescent="0.25">
      <c r="B4638" s="3"/>
    </row>
    <row r="4639" spans="2:2" x14ac:dyDescent="0.25">
      <c r="B4639" s="3"/>
    </row>
    <row r="4640" spans="2:2" x14ac:dyDescent="0.25">
      <c r="B4640" s="3"/>
    </row>
    <row r="4641" spans="2:2" x14ac:dyDescent="0.25">
      <c r="B4641" s="3"/>
    </row>
    <row r="4642" spans="2:2" x14ac:dyDescent="0.25">
      <c r="B4642" s="3"/>
    </row>
    <row r="4643" spans="2:2" x14ac:dyDescent="0.25">
      <c r="B4643" s="3"/>
    </row>
    <row r="4644" spans="2:2" x14ac:dyDescent="0.25">
      <c r="B4644" s="3"/>
    </row>
    <row r="4645" spans="2:2" x14ac:dyDescent="0.25">
      <c r="B4645" s="3"/>
    </row>
    <row r="4646" spans="2:2" x14ac:dyDescent="0.25">
      <c r="B4646" s="3"/>
    </row>
    <row r="4647" spans="2:2" x14ac:dyDescent="0.25">
      <c r="B4647" s="3"/>
    </row>
    <row r="4648" spans="2:2" x14ac:dyDescent="0.25">
      <c r="B4648" s="3"/>
    </row>
    <row r="4649" spans="2:2" x14ac:dyDescent="0.25">
      <c r="B4649" s="3"/>
    </row>
    <row r="4650" spans="2:2" x14ac:dyDescent="0.25">
      <c r="B4650" s="3"/>
    </row>
    <row r="4651" spans="2:2" x14ac:dyDescent="0.25">
      <c r="B4651" s="3"/>
    </row>
    <row r="4652" spans="2:2" x14ac:dyDescent="0.25">
      <c r="B4652" s="3"/>
    </row>
    <row r="4653" spans="2:2" x14ac:dyDescent="0.25">
      <c r="B4653" s="3"/>
    </row>
    <row r="4654" spans="2:2" x14ac:dyDescent="0.25">
      <c r="B4654" s="3"/>
    </row>
    <row r="4655" spans="2:2" x14ac:dyDescent="0.25">
      <c r="B4655" s="3"/>
    </row>
    <row r="4656" spans="2:2" x14ac:dyDescent="0.25">
      <c r="B4656" s="3"/>
    </row>
    <row r="4657" spans="2:2" x14ac:dyDescent="0.25">
      <c r="B4657" s="3"/>
    </row>
    <row r="4658" spans="2:2" x14ac:dyDescent="0.25">
      <c r="B4658" s="3"/>
    </row>
    <row r="4659" spans="2:2" x14ac:dyDescent="0.25">
      <c r="B4659" s="3"/>
    </row>
    <row r="4660" spans="2:2" x14ac:dyDescent="0.25">
      <c r="B4660" s="3"/>
    </row>
    <row r="4661" spans="2:2" x14ac:dyDescent="0.25">
      <c r="B4661" s="3"/>
    </row>
    <row r="4662" spans="2:2" x14ac:dyDescent="0.25">
      <c r="B4662" s="3"/>
    </row>
    <row r="4663" spans="2:2" x14ac:dyDescent="0.25">
      <c r="B4663" s="3"/>
    </row>
    <row r="4664" spans="2:2" x14ac:dyDescent="0.25">
      <c r="B4664" s="3"/>
    </row>
    <row r="4665" spans="2:2" x14ac:dyDescent="0.25">
      <c r="B4665" s="3"/>
    </row>
    <row r="4666" spans="2:2" x14ac:dyDescent="0.25">
      <c r="B4666" s="3"/>
    </row>
    <row r="4667" spans="2:2" x14ac:dyDescent="0.25">
      <c r="B4667" s="3"/>
    </row>
    <row r="4668" spans="2:2" x14ac:dyDescent="0.25">
      <c r="B4668" s="3"/>
    </row>
    <row r="4669" spans="2:2" x14ac:dyDescent="0.25">
      <c r="B4669" s="3"/>
    </row>
    <row r="4670" spans="2:2" x14ac:dyDescent="0.25">
      <c r="B4670" s="3"/>
    </row>
    <row r="4671" spans="2:2" x14ac:dyDescent="0.25">
      <c r="B4671" s="3"/>
    </row>
    <row r="4672" spans="2:2" x14ac:dyDescent="0.25">
      <c r="B4672" s="3"/>
    </row>
    <row r="4673" spans="2:2" x14ac:dyDescent="0.25">
      <c r="B4673" s="3"/>
    </row>
    <row r="4674" spans="2:2" x14ac:dyDescent="0.25">
      <c r="B4674" s="3"/>
    </row>
    <row r="4675" spans="2:2" x14ac:dyDescent="0.25">
      <c r="B4675" s="3"/>
    </row>
    <row r="4676" spans="2:2" x14ac:dyDescent="0.25">
      <c r="B4676" s="3"/>
    </row>
    <row r="4677" spans="2:2" x14ac:dyDescent="0.25">
      <c r="B4677" s="3"/>
    </row>
    <row r="4678" spans="2:2" x14ac:dyDescent="0.25">
      <c r="B4678" s="3"/>
    </row>
    <row r="4679" spans="2:2" x14ac:dyDescent="0.25">
      <c r="B4679" s="3"/>
    </row>
    <row r="4680" spans="2:2" x14ac:dyDescent="0.25">
      <c r="B4680" s="3"/>
    </row>
    <row r="4681" spans="2:2" x14ac:dyDescent="0.25">
      <c r="B4681" s="3"/>
    </row>
    <row r="4682" spans="2:2" x14ac:dyDescent="0.25">
      <c r="B4682" s="3"/>
    </row>
    <row r="4683" spans="2:2" x14ac:dyDescent="0.25">
      <c r="B4683" s="3"/>
    </row>
    <row r="4684" spans="2:2" x14ac:dyDescent="0.25">
      <c r="B4684" s="3"/>
    </row>
    <row r="4685" spans="2:2" x14ac:dyDescent="0.25">
      <c r="B4685" s="3"/>
    </row>
    <row r="4686" spans="2:2" x14ac:dyDescent="0.25">
      <c r="B4686" s="3"/>
    </row>
    <row r="4687" spans="2:2" x14ac:dyDescent="0.25">
      <c r="B4687" s="3"/>
    </row>
    <row r="4688" spans="2:2" x14ac:dyDescent="0.25">
      <c r="B4688" s="3"/>
    </row>
    <row r="4689" spans="2:2" x14ac:dyDescent="0.25">
      <c r="B4689" s="3"/>
    </row>
    <row r="4690" spans="2:2" x14ac:dyDescent="0.25">
      <c r="B4690" s="3"/>
    </row>
    <row r="4691" spans="2:2" x14ac:dyDescent="0.25">
      <c r="B4691" s="3"/>
    </row>
    <row r="4692" spans="2:2" x14ac:dyDescent="0.25">
      <c r="B4692" s="3"/>
    </row>
    <row r="4693" spans="2:2" x14ac:dyDescent="0.25">
      <c r="B4693" s="3"/>
    </row>
    <row r="4694" spans="2:2" x14ac:dyDescent="0.25">
      <c r="B4694" s="3"/>
    </row>
    <row r="4695" spans="2:2" x14ac:dyDescent="0.25">
      <c r="B4695" s="3"/>
    </row>
    <row r="4696" spans="2:2" x14ac:dyDescent="0.25">
      <c r="B4696" s="3"/>
    </row>
    <row r="4697" spans="2:2" x14ac:dyDescent="0.25">
      <c r="B4697" s="3"/>
    </row>
    <row r="4698" spans="2:2" x14ac:dyDescent="0.25">
      <c r="B4698" s="3"/>
    </row>
    <row r="4699" spans="2:2" x14ac:dyDescent="0.25">
      <c r="B4699" s="3"/>
    </row>
    <row r="4700" spans="2:2" x14ac:dyDescent="0.25">
      <c r="B4700" s="3"/>
    </row>
    <row r="4701" spans="2:2" x14ac:dyDescent="0.25">
      <c r="B4701" s="3"/>
    </row>
    <row r="4702" spans="2:2" x14ac:dyDescent="0.25">
      <c r="B4702" s="3"/>
    </row>
    <row r="4703" spans="2:2" x14ac:dyDescent="0.25">
      <c r="B4703" s="3"/>
    </row>
    <row r="4704" spans="2:2" x14ac:dyDescent="0.25">
      <c r="B4704" s="3"/>
    </row>
    <row r="4705" spans="2:2" x14ac:dyDescent="0.25">
      <c r="B4705" s="3"/>
    </row>
    <row r="4706" spans="2:2" x14ac:dyDescent="0.25">
      <c r="B4706" s="3"/>
    </row>
    <row r="4707" spans="2:2" x14ac:dyDescent="0.25">
      <c r="B4707" s="3"/>
    </row>
    <row r="4708" spans="2:2" x14ac:dyDescent="0.25">
      <c r="B4708" s="3"/>
    </row>
    <row r="4709" spans="2:2" x14ac:dyDescent="0.25">
      <c r="B4709" s="3"/>
    </row>
    <row r="4710" spans="2:2" x14ac:dyDescent="0.25">
      <c r="B4710" s="3"/>
    </row>
    <row r="4711" spans="2:2" x14ac:dyDescent="0.25">
      <c r="B4711" s="3"/>
    </row>
    <row r="4712" spans="2:2" x14ac:dyDescent="0.25">
      <c r="B4712" s="3"/>
    </row>
    <row r="4713" spans="2:2" x14ac:dyDescent="0.25">
      <c r="B4713" s="3"/>
    </row>
    <row r="4714" spans="2:2" x14ac:dyDescent="0.25">
      <c r="B4714" s="3"/>
    </row>
    <row r="4715" spans="2:2" x14ac:dyDescent="0.25">
      <c r="B4715" s="3"/>
    </row>
    <row r="4716" spans="2:2" x14ac:dyDescent="0.25">
      <c r="B4716" s="3"/>
    </row>
    <row r="4717" spans="2:2" x14ac:dyDescent="0.25">
      <c r="B4717" s="3"/>
    </row>
    <row r="4718" spans="2:2" x14ac:dyDescent="0.25">
      <c r="B4718" s="3"/>
    </row>
    <row r="4719" spans="2:2" x14ac:dyDescent="0.25">
      <c r="B4719" s="3"/>
    </row>
    <row r="4720" spans="2:2" x14ac:dyDescent="0.25">
      <c r="B4720" s="3"/>
    </row>
    <row r="4721" spans="2:2" x14ac:dyDescent="0.25">
      <c r="B4721" s="3"/>
    </row>
    <row r="4722" spans="2:2" x14ac:dyDescent="0.25">
      <c r="B4722" s="3"/>
    </row>
    <row r="4723" spans="2:2" x14ac:dyDescent="0.25">
      <c r="B4723" s="3"/>
    </row>
    <row r="4724" spans="2:2" x14ac:dyDescent="0.25">
      <c r="B4724" s="3"/>
    </row>
    <row r="4725" spans="2:2" x14ac:dyDescent="0.25">
      <c r="B4725" s="3"/>
    </row>
    <row r="4726" spans="2:2" x14ac:dyDescent="0.25">
      <c r="B4726" s="3"/>
    </row>
    <row r="4727" spans="2:2" x14ac:dyDescent="0.25">
      <c r="B4727" s="3"/>
    </row>
    <row r="4728" spans="2:2" x14ac:dyDescent="0.25">
      <c r="B4728" s="3"/>
    </row>
    <row r="4729" spans="2:2" x14ac:dyDescent="0.25">
      <c r="B4729" s="3"/>
    </row>
    <row r="4730" spans="2:2" x14ac:dyDescent="0.25">
      <c r="B4730" s="3"/>
    </row>
    <row r="4731" spans="2:2" x14ac:dyDescent="0.25">
      <c r="B4731" s="3"/>
    </row>
    <row r="4732" spans="2:2" x14ac:dyDescent="0.25">
      <c r="B4732" s="3"/>
    </row>
    <row r="4733" spans="2:2" x14ac:dyDescent="0.25">
      <c r="B4733" s="3"/>
    </row>
    <row r="4734" spans="2:2" x14ac:dyDescent="0.25">
      <c r="B4734" s="3"/>
    </row>
    <row r="4735" spans="2:2" x14ac:dyDescent="0.25">
      <c r="B4735" s="3"/>
    </row>
    <row r="4736" spans="2:2" x14ac:dyDescent="0.25">
      <c r="B4736" s="3"/>
    </row>
    <row r="4737" spans="2:2" x14ac:dyDescent="0.25">
      <c r="B4737" s="3"/>
    </row>
    <row r="4738" spans="2:2" x14ac:dyDescent="0.25">
      <c r="B4738" s="3"/>
    </row>
    <row r="4739" spans="2:2" x14ac:dyDescent="0.25">
      <c r="B4739" s="3"/>
    </row>
    <row r="4740" spans="2:2" x14ac:dyDescent="0.25">
      <c r="B4740" s="3"/>
    </row>
    <row r="4741" spans="2:2" x14ac:dyDescent="0.25">
      <c r="B4741" s="3"/>
    </row>
    <row r="4742" spans="2:2" x14ac:dyDescent="0.25">
      <c r="B4742" s="3"/>
    </row>
    <row r="4743" spans="2:2" x14ac:dyDescent="0.25">
      <c r="B4743" s="3"/>
    </row>
    <row r="4744" spans="2:2" x14ac:dyDescent="0.25">
      <c r="B4744" s="3"/>
    </row>
    <row r="4745" spans="2:2" x14ac:dyDescent="0.25">
      <c r="B4745" s="3"/>
    </row>
    <row r="4746" spans="2:2" x14ac:dyDescent="0.25">
      <c r="B4746" s="3"/>
    </row>
    <row r="4747" spans="2:2" x14ac:dyDescent="0.25">
      <c r="B4747" s="3"/>
    </row>
    <row r="4748" spans="2:2" x14ac:dyDescent="0.25">
      <c r="B4748" s="3"/>
    </row>
    <row r="4749" spans="2:2" x14ac:dyDescent="0.25">
      <c r="B4749" s="3"/>
    </row>
    <row r="4750" spans="2:2" x14ac:dyDescent="0.25">
      <c r="B4750" s="3"/>
    </row>
    <row r="4751" spans="2:2" x14ac:dyDescent="0.25">
      <c r="B4751" s="3"/>
    </row>
    <row r="4752" spans="2:2" x14ac:dyDescent="0.25">
      <c r="B4752" s="3"/>
    </row>
    <row r="4753" spans="2:2" x14ac:dyDescent="0.25">
      <c r="B4753" s="3"/>
    </row>
    <row r="4754" spans="2:2" x14ac:dyDescent="0.25">
      <c r="B4754" s="3"/>
    </row>
    <row r="4755" spans="2:2" x14ac:dyDescent="0.25">
      <c r="B4755" s="3"/>
    </row>
    <row r="4756" spans="2:2" x14ac:dyDescent="0.25">
      <c r="B4756" s="3"/>
    </row>
    <row r="4757" spans="2:2" x14ac:dyDescent="0.25">
      <c r="B4757" s="3"/>
    </row>
    <row r="4758" spans="2:2" x14ac:dyDescent="0.25">
      <c r="B4758" s="3"/>
    </row>
    <row r="4759" spans="2:2" x14ac:dyDescent="0.25">
      <c r="B4759" s="3"/>
    </row>
    <row r="4760" spans="2:2" x14ac:dyDescent="0.25">
      <c r="B4760" s="3"/>
    </row>
    <row r="4761" spans="2:2" x14ac:dyDescent="0.25">
      <c r="B4761" s="3"/>
    </row>
    <row r="4762" spans="2:2" x14ac:dyDescent="0.25">
      <c r="B4762" s="3"/>
    </row>
    <row r="4763" spans="2:2" x14ac:dyDescent="0.25">
      <c r="B4763" s="3"/>
    </row>
    <row r="4764" spans="2:2" x14ac:dyDescent="0.25">
      <c r="B4764" s="3"/>
    </row>
    <row r="4765" spans="2:2" x14ac:dyDescent="0.25">
      <c r="B4765" s="3"/>
    </row>
    <row r="4766" spans="2:2" x14ac:dyDescent="0.25">
      <c r="B4766" s="3"/>
    </row>
    <row r="4767" spans="2:2" x14ac:dyDescent="0.25">
      <c r="B4767" s="3"/>
    </row>
    <row r="4768" spans="2:2" x14ac:dyDescent="0.25">
      <c r="B4768" s="3"/>
    </row>
    <row r="4769" spans="2:2" x14ac:dyDescent="0.25">
      <c r="B4769" s="3"/>
    </row>
    <row r="4770" spans="2:2" x14ac:dyDescent="0.25">
      <c r="B4770" s="3"/>
    </row>
    <row r="4771" spans="2:2" x14ac:dyDescent="0.25">
      <c r="B4771" s="3"/>
    </row>
    <row r="4772" spans="2:2" x14ac:dyDescent="0.25">
      <c r="B4772" s="3"/>
    </row>
    <row r="4773" spans="2:2" x14ac:dyDescent="0.25">
      <c r="B4773" s="3"/>
    </row>
    <row r="4774" spans="2:2" x14ac:dyDescent="0.25">
      <c r="B4774" s="3"/>
    </row>
    <row r="4775" spans="2:2" x14ac:dyDescent="0.25">
      <c r="B4775" s="3"/>
    </row>
    <row r="4776" spans="2:2" x14ac:dyDescent="0.25">
      <c r="B4776" s="3"/>
    </row>
    <row r="4777" spans="2:2" x14ac:dyDescent="0.25">
      <c r="B4777" s="3"/>
    </row>
    <row r="4778" spans="2:2" x14ac:dyDescent="0.25">
      <c r="B4778" s="3"/>
    </row>
    <row r="4779" spans="2:2" x14ac:dyDescent="0.25">
      <c r="B4779" s="3"/>
    </row>
    <row r="4780" spans="2:2" x14ac:dyDescent="0.25">
      <c r="B4780" s="3"/>
    </row>
    <row r="4781" spans="2:2" x14ac:dyDescent="0.25">
      <c r="B4781" s="3"/>
    </row>
    <row r="4782" spans="2:2" x14ac:dyDescent="0.25">
      <c r="B4782" s="3"/>
    </row>
    <row r="4783" spans="2:2" x14ac:dyDescent="0.25">
      <c r="B4783" s="3"/>
    </row>
    <row r="4784" spans="2:2" x14ac:dyDescent="0.25">
      <c r="B4784" s="3"/>
    </row>
    <row r="4785" spans="2:2" x14ac:dyDescent="0.25">
      <c r="B4785" s="3"/>
    </row>
    <row r="4786" spans="2:2" x14ac:dyDescent="0.25">
      <c r="B4786" s="3"/>
    </row>
    <row r="4787" spans="2:2" x14ac:dyDescent="0.25">
      <c r="B4787" s="3"/>
    </row>
    <row r="4788" spans="2:2" x14ac:dyDescent="0.25">
      <c r="B4788" s="3"/>
    </row>
    <row r="4789" spans="2:2" x14ac:dyDescent="0.25">
      <c r="B4789" s="3"/>
    </row>
    <row r="4790" spans="2:2" x14ac:dyDescent="0.25">
      <c r="B4790" s="3"/>
    </row>
    <row r="4791" spans="2:2" x14ac:dyDescent="0.25">
      <c r="B4791" s="3"/>
    </row>
    <row r="4792" spans="2:2" x14ac:dyDescent="0.25">
      <c r="B4792" s="3"/>
    </row>
    <row r="4793" spans="2:2" x14ac:dyDescent="0.25">
      <c r="B4793" s="3"/>
    </row>
    <row r="4794" spans="2:2" x14ac:dyDescent="0.25">
      <c r="B4794" s="3"/>
    </row>
    <row r="4795" spans="2:2" x14ac:dyDescent="0.25">
      <c r="B4795" s="3"/>
    </row>
    <row r="4796" spans="2:2" x14ac:dyDescent="0.25">
      <c r="B4796" s="3"/>
    </row>
    <row r="4797" spans="2:2" x14ac:dyDescent="0.25">
      <c r="B4797" s="3"/>
    </row>
    <row r="4798" spans="2:2" x14ac:dyDescent="0.25">
      <c r="B4798" s="3"/>
    </row>
    <row r="4799" spans="2:2" x14ac:dyDescent="0.25">
      <c r="B4799" s="3"/>
    </row>
    <row r="4800" spans="2:2" x14ac:dyDescent="0.25">
      <c r="B4800" s="3"/>
    </row>
    <row r="4801" spans="2:2" x14ac:dyDescent="0.25">
      <c r="B4801" s="3"/>
    </row>
    <row r="4802" spans="2:2" x14ac:dyDescent="0.25">
      <c r="B4802" s="3"/>
    </row>
    <row r="4803" spans="2:2" x14ac:dyDescent="0.25">
      <c r="B4803" s="3"/>
    </row>
    <row r="4804" spans="2:2" x14ac:dyDescent="0.25">
      <c r="B4804" s="3"/>
    </row>
    <row r="4805" spans="2:2" x14ac:dyDescent="0.25">
      <c r="B4805" s="3"/>
    </row>
    <row r="4806" spans="2:2" x14ac:dyDescent="0.25">
      <c r="B4806" s="3"/>
    </row>
    <row r="4807" spans="2:2" x14ac:dyDescent="0.25">
      <c r="B4807" s="3"/>
    </row>
    <row r="4808" spans="2:2" x14ac:dyDescent="0.25">
      <c r="B4808" s="3"/>
    </row>
    <row r="4809" spans="2:2" x14ac:dyDescent="0.25">
      <c r="B4809" s="3"/>
    </row>
    <row r="4810" spans="2:2" x14ac:dyDescent="0.25">
      <c r="B4810" s="3"/>
    </row>
    <row r="4811" spans="2:2" x14ac:dyDescent="0.25">
      <c r="B4811" s="3"/>
    </row>
    <row r="4812" spans="2:2" x14ac:dyDescent="0.25">
      <c r="B4812" s="3"/>
    </row>
    <row r="4813" spans="2:2" x14ac:dyDescent="0.25">
      <c r="B4813" s="3"/>
    </row>
    <row r="4814" spans="2:2" x14ac:dyDescent="0.25">
      <c r="B4814" s="3"/>
    </row>
    <row r="4815" spans="2:2" x14ac:dyDescent="0.25">
      <c r="B4815" s="3"/>
    </row>
    <row r="4816" spans="2:2" x14ac:dyDescent="0.25">
      <c r="B4816" s="3"/>
    </row>
    <row r="4817" spans="2:2" x14ac:dyDescent="0.25">
      <c r="B4817" s="3"/>
    </row>
    <row r="4818" spans="2:2" x14ac:dyDescent="0.25">
      <c r="B4818" s="3"/>
    </row>
    <row r="4819" spans="2:2" x14ac:dyDescent="0.25">
      <c r="B4819" s="3"/>
    </row>
    <row r="4820" spans="2:2" x14ac:dyDescent="0.25">
      <c r="B4820" s="3"/>
    </row>
    <row r="4821" spans="2:2" x14ac:dyDescent="0.25">
      <c r="B4821" s="3"/>
    </row>
    <row r="4822" spans="2:2" x14ac:dyDescent="0.25">
      <c r="B4822" s="3"/>
    </row>
    <row r="4823" spans="2:2" x14ac:dyDescent="0.25">
      <c r="B4823" s="3"/>
    </row>
    <row r="4824" spans="2:2" x14ac:dyDescent="0.25">
      <c r="B4824" s="3"/>
    </row>
    <row r="4825" spans="2:2" x14ac:dyDescent="0.25">
      <c r="B4825" s="3"/>
    </row>
    <row r="4826" spans="2:2" x14ac:dyDescent="0.25">
      <c r="B4826" s="3"/>
    </row>
    <row r="4827" spans="2:2" x14ac:dyDescent="0.25">
      <c r="B4827" s="3"/>
    </row>
    <row r="4828" spans="2:2" x14ac:dyDescent="0.25">
      <c r="B4828" s="3"/>
    </row>
    <row r="4829" spans="2:2" x14ac:dyDescent="0.25">
      <c r="B4829" s="3"/>
    </row>
    <row r="4830" spans="2:2" x14ac:dyDescent="0.25">
      <c r="B4830" s="3"/>
    </row>
    <row r="4831" spans="2:2" x14ac:dyDescent="0.25">
      <c r="B4831" s="3"/>
    </row>
    <row r="4832" spans="2:2" x14ac:dyDescent="0.25">
      <c r="B4832" s="3"/>
    </row>
    <row r="4833" spans="2:2" x14ac:dyDescent="0.25">
      <c r="B4833" s="3"/>
    </row>
    <row r="4834" spans="2:2" x14ac:dyDescent="0.25">
      <c r="B4834" s="3"/>
    </row>
    <row r="4835" spans="2:2" x14ac:dyDescent="0.25">
      <c r="B4835" s="3"/>
    </row>
    <row r="4836" spans="2:2" x14ac:dyDescent="0.25">
      <c r="B4836" s="3"/>
    </row>
    <row r="4837" spans="2:2" x14ac:dyDescent="0.25">
      <c r="B4837" s="3"/>
    </row>
    <row r="4838" spans="2:2" x14ac:dyDescent="0.25">
      <c r="B4838" s="3"/>
    </row>
    <row r="4839" spans="2:2" x14ac:dyDescent="0.25">
      <c r="B4839" s="3"/>
    </row>
    <row r="4840" spans="2:2" x14ac:dyDescent="0.25">
      <c r="B4840" s="3"/>
    </row>
    <row r="4841" spans="2:2" x14ac:dyDescent="0.25">
      <c r="B4841" s="3"/>
    </row>
    <row r="4842" spans="2:2" x14ac:dyDescent="0.25">
      <c r="B4842" s="3"/>
    </row>
    <row r="4843" spans="2:2" x14ac:dyDescent="0.25">
      <c r="B4843" s="3"/>
    </row>
    <row r="4844" spans="2:2" x14ac:dyDescent="0.25">
      <c r="B4844" s="3"/>
    </row>
    <row r="4845" spans="2:2" x14ac:dyDescent="0.25">
      <c r="B4845" s="3"/>
    </row>
    <row r="4846" spans="2:2" x14ac:dyDescent="0.25">
      <c r="B4846" s="3"/>
    </row>
    <row r="4847" spans="2:2" x14ac:dyDescent="0.25">
      <c r="B4847" s="3"/>
    </row>
    <row r="4848" spans="2:2" x14ac:dyDescent="0.25">
      <c r="B4848" s="3"/>
    </row>
    <row r="4849" spans="2:2" x14ac:dyDescent="0.25">
      <c r="B4849" s="3"/>
    </row>
    <row r="4850" spans="2:2" x14ac:dyDescent="0.25">
      <c r="B4850" s="3"/>
    </row>
    <row r="4851" spans="2:2" x14ac:dyDescent="0.25">
      <c r="B4851" s="3"/>
    </row>
    <row r="4852" spans="2:2" x14ac:dyDescent="0.25">
      <c r="B4852" s="3"/>
    </row>
    <row r="4853" spans="2:2" x14ac:dyDescent="0.25">
      <c r="B4853" s="3"/>
    </row>
    <row r="4854" spans="2:2" x14ac:dyDescent="0.25">
      <c r="B4854" s="3"/>
    </row>
    <row r="4855" spans="2:2" x14ac:dyDescent="0.25">
      <c r="B4855" s="3"/>
    </row>
    <row r="4856" spans="2:2" x14ac:dyDescent="0.25">
      <c r="B4856" s="3"/>
    </row>
    <row r="4857" spans="2:2" x14ac:dyDescent="0.25">
      <c r="B4857" s="3"/>
    </row>
    <row r="4858" spans="2:2" x14ac:dyDescent="0.25">
      <c r="B4858" s="3"/>
    </row>
    <row r="4859" spans="2:2" x14ac:dyDescent="0.25">
      <c r="B4859" s="3"/>
    </row>
    <row r="4860" spans="2:2" x14ac:dyDescent="0.25">
      <c r="B4860" s="3"/>
    </row>
    <row r="4861" spans="2:2" x14ac:dyDescent="0.25">
      <c r="B4861" s="3"/>
    </row>
    <row r="4862" spans="2:2" x14ac:dyDescent="0.25">
      <c r="B4862" s="3"/>
    </row>
    <row r="4863" spans="2:2" x14ac:dyDescent="0.25">
      <c r="B4863" s="3"/>
    </row>
    <row r="4864" spans="2:2" x14ac:dyDescent="0.25">
      <c r="B4864" s="3"/>
    </row>
    <row r="4865" spans="2:2" x14ac:dyDescent="0.25">
      <c r="B4865" s="3"/>
    </row>
    <row r="4866" spans="2:2" x14ac:dyDescent="0.25">
      <c r="B4866" s="3"/>
    </row>
    <row r="4867" spans="2:2" x14ac:dyDescent="0.25">
      <c r="B4867" s="3"/>
    </row>
    <row r="4868" spans="2:2" x14ac:dyDescent="0.25">
      <c r="B4868" s="3"/>
    </row>
    <row r="4869" spans="2:2" x14ac:dyDescent="0.25">
      <c r="B4869" s="3"/>
    </row>
    <row r="4870" spans="2:2" x14ac:dyDescent="0.25">
      <c r="B4870" s="3"/>
    </row>
    <row r="4871" spans="2:2" x14ac:dyDescent="0.25">
      <c r="B4871" s="3"/>
    </row>
    <row r="4872" spans="2:2" x14ac:dyDescent="0.25">
      <c r="B4872" s="3"/>
    </row>
    <row r="4873" spans="2:2" x14ac:dyDescent="0.25">
      <c r="B4873" s="3"/>
    </row>
    <row r="4874" spans="2:2" x14ac:dyDescent="0.25">
      <c r="B4874" s="3"/>
    </row>
    <row r="4875" spans="2:2" x14ac:dyDescent="0.25">
      <c r="B4875" s="3"/>
    </row>
    <row r="4876" spans="2:2" x14ac:dyDescent="0.25">
      <c r="B4876" s="3"/>
    </row>
    <row r="4877" spans="2:2" x14ac:dyDescent="0.25">
      <c r="B4877" s="3"/>
    </row>
    <row r="4878" spans="2:2" x14ac:dyDescent="0.25">
      <c r="B4878" s="3"/>
    </row>
    <row r="4879" spans="2:2" x14ac:dyDescent="0.25">
      <c r="B4879" s="3"/>
    </row>
    <row r="4880" spans="2:2" x14ac:dyDescent="0.25">
      <c r="B4880" s="3"/>
    </row>
    <row r="4881" spans="2:2" x14ac:dyDescent="0.25">
      <c r="B4881" s="3"/>
    </row>
    <row r="4882" spans="2:2" x14ac:dyDescent="0.25">
      <c r="B4882" s="3"/>
    </row>
    <row r="4883" spans="2:2" x14ac:dyDescent="0.25">
      <c r="B4883" s="3"/>
    </row>
    <row r="4884" spans="2:2" x14ac:dyDescent="0.25">
      <c r="B4884" s="3"/>
    </row>
    <row r="4885" spans="2:2" x14ac:dyDescent="0.25">
      <c r="B4885" s="3"/>
    </row>
    <row r="4886" spans="2:2" x14ac:dyDescent="0.25">
      <c r="B4886" s="3"/>
    </row>
    <row r="4887" spans="2:2" x14ac:dyDescent="0.25">
      <c r="B4887" s="3"/>
    </row>
    <row r="4888" spans="2:2" x14ac:dyDescent="0.25">
      <c r="B4888" s="3"/>
    </row>
    <row r="4889" spans="2:2" x14ac:dyDescent="0.25">
      <c r="B4889" s="3"/>
    </row>
    <row r="4890" spans="2:2" x14ac:dyDescent="0.25">
      <c r="B4890" s="3"/>
    </row>
    <row r="4891" spans="2:2" x14ac:dyDescent="0.25">
      <c r="B4891" s="3"/>
    </row>
    <row r="4892" spans="2:2" x14ac:dyDescent="0.25">
      <c r="B4892" s="3"/>
    </row>
    <row r="4893" spans="2:2" x14ac:dyDescent="0.25">
      <c r="B4893" s="3"/>
    </row>
    <row r="4894" spans="2:2" x14ac:dyDescent="0.25">
      <c r="B4894" s="3"/>
    </row>
    <row r="4895" spans="2:2" x14ac:dyDescent="0.25">
      <c r="B4895" s="3"/>
    </row>
    <row r="4896" spans="2:2" x14ac:dyDescent="0.25">
      <c r="B4896" s="3"/>
    </row>
    <row r="4897" spans="2:2" x14ac:dyDescent="0.25">
      <c r="B4897" s="3"/>
    </row>
    <row r="4898" spans="2:2" x14ac:dyDescent="0.25">
      <c r="B4898" s="3"/>
    </row>
    <row r="4899" spans="2:2" x14ac:dyDescent="0.25">
      <c r="B4899" s="3"/>
    </row>
    <row r="4900" spans="2:2" x14ac:dyDescent="0.25">
      <c r="B4900" s="3"/>
    </row>
    <row r="4901" spans="2:2" x14ac:dyDescent="0.25">
      <c r="B4901" s="3"/>
    </row>
    <row r="4902" spans="2:2" x14ac:dyDescent="0.25">
      <c r="B4902" s="3"/>
    </row>
    <row r="4903" spans="2:2" x14ac:dyDescent="0.25">
      <c r="B4903" s="3"/>
    </row>
    <row r="4904" spans="2:2" x14ac:dyDescent="0.25">
      <c r="B4904" s="3"/>
    </row>
    <row r="4905" spans="2:2" x14ac:dyDescent="0.25">
      <c r="B4905" s="3"/>
    </row>
    <row r="4906" spans="2:2" x14ac:dyDescent="0.25">
      <c r="B4906" s="3"/>
    </row>
    <row r="4907" spans="2:2" x14ac:dyDescent="0.25">
      <c r="B4907" s="3"/>
    </row>
    <row r="4908" spans="2:2" x14ac:dyDescent="0.25">
      <c r="B4908" s="3"/>
    </row>
    <row r="4909" spans="2:2" x14ac:dyDescent="0.25">
      <c r="B4909" s="3"/>
    </row>
    <row r="4910" spans="2:2" x14ac:dyDescent="0.25">
      <c r="B4910" s="3"/>
    </row>
    <row r="4911" spans="2:2" x14ac:dyDescent="0.25">
      <c r="B4911" s="3"/>
    </row>
    <row r="4912" spans="2:2" x14ac:dyDescent="0.25">
      <c r="B4912" s="3"/>
    </row>
    <row r="4913" spans="2:2" x14ac:dyDescent="0.25">
      <c r="B4913" s="3"/>
    </row>
    <row r="4914" spans="2:2" x14ac:dyDescent="0.25">
      <c r="B4914" s="3"/>
    </row>
    <row r="4915" spans="2:2" x14ac:dyDescent="0.25">
      <c r="B4915" s="3"/>
    </row>
    <row r="4916" spans="2:2" x14ac:dyDescent="0.25">
      <c r="B4916" s="3"/>
    </row>
    <row r="4917" spans="2:2" x14ac:dyDescent="0.25">
      <c r="B4917" s="3"/>
    </row>
    <row r="4918" spans="2:2" x14ac:dyDescent="0.25">
      <c r="B4918" s="3"/>
    </row>
    <row r="4919" spans="2:2" x14ac:dyDescent="0.25">
      <c r="B4919" s="3"/>
    </row>
    <row r="4920" spans="2:2" x14ac:dyDescent="0.25">
      <c r="B4920" s="3"/>
    </row>
    <row r="4921" spans="2:2" x14ac:dyDescent="0.25">
      <c r="B4921" s="3"/>
    </row>
    <row r="4922" spans="2:2" x14ac:dyDescent="0.25">
      <c r="B4922" s="3"/>
    </row>
    <row r="4923" spans="2:2" x14ac:dyDescent="0.25">
      <c r="B4923" s="3"/>
    </row>
    <row r="4924" spans="2:2" x14ac:dyDescent="0.25">
      <c r="B4924" s="3"/>
    </row>
    <row r="4925" spans="2:2" x14ac:dyDescent="0.25">
      <c r="B4925" s="3"/>
    </row>
    <row r="4926" spans="2:2" x14ac:dyDescent="0.25">
      <c r="B4926" s="3"/>
    </row>
    <row r="4927" spans="2:2" x14ac:dyDescent="0.25">
      <c r="B4927" s="3"/>
    </row>
    <row r="4928" spans="2:2" x14ac:dyDescent="0.25">
      <c r="B4928" s="3"/>
    </row>
    <row r="4929" spans="2:2" x14ac:dyDescent="0.25">
      <c r="B4929" s="3"/>
    </row>
    <row r="4930" spans="2:2" x14ac:dyDescent="0.25">
      <c r="B4930" s="3"/>
    </row>
    <row r="4931" spans="2:2" x14ac:dyDescent="0.25">
      <c r="B4931" s="3"/>
    </row>
    <row r="4932" spans="2:2" x14ac:dyDescent="0.25">
      <c r="B4932" s="3"/>
    </row>
    <row r="4933" spans="2:2" x14ac:dyDescent="0.25">
      <c r="B4933" s="3"/>
    </row>
    <row r="4934" spans="2:2" x14ac:dyDescent="0.25">
      <c r="B4934" s="3"/>
    </row>
    <row r="4935" spans="2:2" x14ac:dyDescent="0.25">
      <c r="B4935" s="3"/>
    </row>
    <row r="4936" spans="2:2" x14ac:dyDescent="0.25">
      <c r="B4936" s="3"/>
    </row>
    <row r="4937" spans="2:2" x14ac:dyDescent="0.25">
      <c r="B4937" s="3"/>
    </row>
    <row r="4938" spans="2:2" x14ac:dyDescent="0.25">
      <c r="B4938" s="3"/>
    </row>
    <row r="4939" spans="2:2" x14ac:dyDescent="0.25">
      <c r="B4939" s="3"/>
    </row>
    <row r="4940" spans="2:2" x14ac:dyDescent="0.25">
      <c r="B4940" s="3"/>
    </row>
    <row r="4941" spans="2:2" x14ac:dyDescent="0.25">
      <c r="B4941" s="3"/>
    </row>
    <row r="4942" spans="2:2" x14ac:dyDescent="0.25">
      <c r="B4942" s="3"/>
    </row>
    <row r="4943" spans="2:2" x14ac:dyDescent="0.25">
      <c r="B4943" s="3"/>
    </row>
    <row r="4944" spans="2:2" x14ac:dyDescent="0.25">
      <c r="B4944" s="3"/>
    </row>
    <row r="4945" spans="2:2" x14ac:dyDescent="0.25">
      <c r="B4945" s="3"/>
    </row>
    <row r="4946" spans="2:2" x14ac:dyDescent="0.25">
      <c r="B4946" s="3"/>
    </row>
    <row r="4947" spans="2:2" x14ac:dyDescent="0.25">
      <c r="B4947" s="3"/>
    </row>
    <row r="4948" spans="2:2" x14ac:dyDescent="0.25">
      <c r="B4948" s="3"/>
    </row>
    <row r="4949" spans="2:2" x14ac:dyDescent="0.25">
      <c r="B4949" s="3"/>
    </row>
    <row r="4950" spans="2:2" x14ac:dyDescent="0.25">
      <c r="B4950" s="3"/>
    </row>
    <row r="4951" spans="2:2" x14ac:dyDescent="0.25">
      <c r="B4951" s="3"/>
    </row>
    <row r="4952" spans="2:2" x14ac:dyDescent="0.25">
      <c r="B4952" s="3"/>
    </row>
    <row r="4953" spans="2:2" x14ac:dyDescent="0.25">
      <c r="B4953" s="3"/>
    </row>
    <row r="4954" spans="2:2" x14ac:dyDescent="0.25">
      <c r="B4954" s="3"/>
    </row>
    <row r="4955" spans="2:2" x14ac:dyDescent="0.25">
      <c r="B4955" s="3"/>
    </row>
    <row r="4956" spans="2:2" x14ac:dyDescent="0.25">
      <c r="B4956" s="3"/>
    </row>
    <row r="4957" spans="2:2" x14ac:dyDescent="0.25">
      <c r="B4957" s="3"/>
    </row>
    <row r="4958" spans="2:2" x14ac:dyDescent="0.25">
      <c r="B4958" s="3"/>
    </row>
    <row r="4959" spans="2:2" x14ac:dyDescent="0.25">
      <c r="B4959" s="3"/>
    </row>
    <row r="4960" spans="2:2" x14ac:dyDescent="0.25">
      <c r="B4960" s="3"/>
    </row>
    <row r="4961" spans="2:2" x14ac:dyDescent="0.25">
      <c r="B4961" s="3"/>
    </row>
    <row r="4962" spans="2:2" x14ac:dyDescent="0.25">
      <c r="B4962" s="3"/>
    </row>
    <row r="4963" spans="2:2" x14ac:dyDescent="0.25">
      <c r="B4963" s="3"/>
    </row>
    <row r="4964" spans="2:2" x14ac:dyDescent="0.25">
      <c r="B4964" s="3"/>
    </row>
    <row r="4965" spans="2:2" x14ac:dyDescent="0.25">
      <c r="B4965" s="3"/>
    </row>
    <row r="4966" spans="2:2" x14ac:dyDescent="0.25">
      <c r="B4966" s="3"/>
    </row>
    <row r="4967" spans="2:2" x14ac:dyDescent="0.25">
      <c r="B4967" s="3"/>
    </row>
    <row r="4968" spans="2:2" x14ac:dyDescent="0.25">
      <c r="B4968" s="3"/>
    </row>
    <row r="4969" spans="2:2" x14ac:dyDescent="0.25">
      <c r="B4969" s="3"/>
    </row>
    <row r="4970" spans="2:2" x14ac:dyDescent="0.25">
      <c r="B4970" s="3"/>
    </row>
    <row r="4971" spans="2:2" x14ac:dyDescent="0.25">
      <c r="B4971" s="3"/>
    </row>
    <row r="4972" spans="2:2" x14ac:dyDescent="0.25">
      <c r="B4972" s="3"/>
    </row>
    <row r="4973" spans="2:2" x14ac:dyDescent="0.25">
      <c r="B4973" s="3"/>
    </row>
    <row r="4974" spans="2:2" x14ac:dyDescent="0.25">
      <c r="B4974" s="3"/>
    </row>
    <row r="4975" spans="2:2" x14ac:dyDescent="0.25">
      <c r="B4975" s="3"/>
    </row>
    <row r="4976" spans="2:2" x14ac:dyDescent="0.25">
      <c r="B4976" s="3"/>
    </row>
    <row r="4977" spans="2:2" x14ac:dyDescent="0.25">
      <c r="B4977" s="3"/>
    </row>
    <row r="4978" spans="2:2" x14ac:dyDescent="0.25">
      <c r="B4978" s="3"/>
    </row>
    <row r="4979" spans="2:2" x14ac:dyDescent="0.25">
      <c r="B4979" s="3"/>
    </row>
    <row r="4980" spans="2:2" x14ac:dyDescent="0.25">
      <c r="B4980" s="3"/>
    </row>
    <row r="4981" spans="2:2" x14ac:dyDescent="0.25">
      <c r="B4981" s="3"/>
    </row>
    <row r="4982" spans="2:2" x14ac:dyDescent="0.25">
      <c r="B4982" s="3"/>
    </row>
    <row r="4983" spans="2:2" x14ac:dyDescent="0.25">
      <c r="B4983" s="3"/>
    </row>
    <row r="4984" spans="2:2" x14ac:dyDescent="0.25">
      <c r="B4984" s="3"/>
    </row>
    <row r="4985" spans="2:2" x14ac:dyDescent="0.25">
      <c r="B4985" s="3"/>
    </row>
    <row r="4986" spans="2:2" x14ac:dyDescent="0.25">
      <c r="B4986" s="3"/>
    </row>
    <row r="4987" spans="2:2" x14ac:dyDescent="0.25">
      <c r="B4987" s="3"/>
    </row>
    <row r="4988" spans="2:2" x14ac:dyDescent="0.25">
      <c r="B4988" s="3"/>
    </row>
    <row r="4989" spans="2:2" x14ac:dyDescent="0.25">
      <c r="B4989" s="3"/>
    </row>
    <row r="4990" spans="2:2" x14ac:dyDescent="0.25">
      <c r="B4990" s="3"/>
    </row>
    <row r="4991" spans="2:2" x14ac:dyDescent="0.25">
      <c r="B4991" s="3"/>
    </row>
    <row r="4992" spans="2:2" x14ac:dyDescent="0.25">
      <c r="B4992" s="3"/>
    </row>
    <row r="4993" spans="2:2" x14ac:dyDescent="0.25">
      <c r="B4993" s="3"/>
    </row>
    <row r="4994" spans="2:2" x14ac:dyDescent="0.25">
      <c r="B4994" s="3"/>
    </row>
    <row r="4995" spans="2:2" x14ac:dyDescent="0.25">
      <c r="B4995" s="3"/>
    </row>
    <row r="4996" spans="2:2" x14ac:dyDescent="0.25">
      <c r="B4996" s="3"/>
    </row>
    <row r="4997" spans="2:2" x14ac:dyDescent="0.25">
      <c r="B4997" s="3"/>
    </row>
    <row r="4998" spans="2:2" x14ac:dyDescent="0.25">
      <c r="B4998" s="3"/>
    </row>
    <row r="4999" spans="2:2" x14ac:dyDescent="0.25">
      <c r="B4999" s="3"/>
    </row>
    <row r="5000" spans="2:2" x14ac:dyDescent="0.25">
      <c r="B5000" s="3"/>
    </row>
    <row r="5001" spans="2:2" x14ac:dyDescent="0.25">
      <c r="B5001" s="3"/>
    </row>
    <row r="5002" spans="2:2" x14ac:dyDescent="0.25">
      <c r="B5002" s="3"/>
    </row>
    <row r="5003" spans="2:2" x14ac:dyDescent="0.25">
      <c r="B5003" s="3"/>
    </row>
    <row r="5004" spans="2:2" x14ac:dyDescent="0.25">
      <c r="B5004" s="3"/>
    </row>
    <row r="5005" spans="2:2" x14ac:dyDescent="0.25">
      <c r="B5005" s="3"/>
    </row>
    <row r="5006" spans="2:2" x14ac:dyDescent="0.25">
      <c r="B5006" s="3"/>
    </row>
    <row r="5007" spans="2:2" x14ac:dyDescent="0.25">
      <c r="B5007" s="3"/>
    </row>
    <row r="5008" spans="2:2" x14ac:dyDescent="0.25">
      <c r="B5008" s="3"/>
    </row>
    <row r="5009" spans="2:2" x14ac:dyDescent="0.25">
      <c r="B5009" s="3"/>
    </row>
    <row r="5010" spans="2:2" x14ac:dyDescent="0.25">
      <c r="B5010" s="3"/>
    </row>
    <row r="5011" spans="2:2" x14ac:dyDescent="0.25">
      <c r="B5011" s="3"/>
    </row>
    <row r="5012" spans="2:2" x14ac:dyDescent="0.25">
      <c r="B5012" s="3"/>
    </row>
    <row r="5013" spans="2:2" x14ac:dyDescent="0.25">
      <c r="B5013" s="3"/>
    </row>
    <row r="5014" spans="2:2" x14ac:dyDescent="0.25">
      <c r="B5014" s="3"/>
    </row>
    <row r="5015" spans="2:2" x14ac:dyDescent="0.25">
      <c r="B5015" s="3"/>
    </row>
    <row r="5016" spans="2:2" x14ac:dyDescent="0.25">
      <c r="B5016" s="3"/>
    </row>
    <row r="5017" spans="2:2" x14ac:dyDescent="0.25">
      <c r="B5017" s="3"/>
    </row>
    <row r="5018" spans="2:2" x14ac:dyDescent="0.25">
      <c r="B5018" s="3"/>
    </row>
    <row r="5019" spans="2:2" x14ac:dyDescent="0.25">
      <c r="B5019" s="3"/>
    </row>
    <row r="5020" spans="2:2" x14ac:dyDescent="0.25">
      <c r="B5020" s="3"/>
    </row>
    <row r="5021" spans="2:2" x14ac:dyDescent="0.25">
      <c r="B5021" s="3"/>
    </row>
    <row r="5022" spans="2:2" x14ac:dyDescent="0.25">
      <c r="B5022" s="3"/>
    </row>
    <row r="5023" spans="2:2" x14ac:dyDescent="0.25">
      <c r="B5023" s="3"/>
    </row>
    <row r="5024" spans="2:2" x14ac:dyDescent="0.25">
      <c r="B5024" s="3"/>
    </row>
    <row r="5025" spans="2:2" x14ac:dyDescent="0.25">
      <c r="B5025" s="3"/>
    </row>
    <row r="5026" spans="2:2" x14ac:dyDescent="0.25">
      <c r="B5026" s="3"/>
    </row>
    <row r="5027" spans="2:2" x14ac:dyDescent="0.25">
      <c r="B5027" s="3"/>
    </row>
    <row r="5028" spans="2:2" x14ac:dyDescent="0.25">
      <c r="B5028" s="3"/>
    </row>
    <row r="5029" spans="2:2" x14ac:dyDescent="0.25">
      <c r="B5029" s="3"/>
    </row>
    <row r="5030" spans="2:2" x14ac:dyDescent="0.25">
      <c r="B5030" s="3"/>
    </row>
    <row r="5031" spans="2:2" x14ac:dyDescent="0.25">
      <c r="B5031" s="3"/>
    </row>
    <row r="5032" spans="2:2" x14ac:dyDescent="0.25">
      <c r="B5032" s="3"/>
    </row>
    <row r="5033" spans="2:2" x14ac:dyDescent="0.25">
      <c r="B5033" s="3"/>
    </row>
    <row r="5034" spans="2:2" x14ac:dyDescent="0.25">
      <c r="B5034" s="3"/>
    </row>
    <row r="5035" spans="2:2" x14ac:dyDescent="0.25">
      <c r="B5035" s="3"/>
    </row>
    <row r="5036" spans="2:2" x14ac:dyDescent="0.25">
      <c r="B5036" s="3"/>
    </row>
    <row r="5037" spans="2:2" x14ac:dyDescent="0.25">
      <c r="B5037" s="3"/>
    </row>
    <row r="5038" spans="2:2" x14ac:dyDescent="0.25">
      <c r="B5038" s="3"/>
    </row>
    <row r="5039" spans="2:2" x14ac:dyDescent="0.25">
      <c r="B5039" s="3"/>
    </row>
    <row r="5040" spans="2:2" x14ac:dyDescent="0.25">
      <c r="B5040" s="3"/>
    </row>
    <row r="5041" spans="2:2" x14ac:dyDescent="0.25">
      <c r="B5041" s="3"/>
    </row>
    <row r="5042" spans="2:2" x14ac:dyDescent="0.25">
      <c r="B5042" s="3"/>
    </row>
    <row r="5043" spans="2:2" x14ac:dyDescent="0.25">
      <c r="B5043" s="3"/>
    </row>
    <row r="5044" spans="2:2" x14ac:dyDescent="0.25">
      <c r="B5044" s="3"/>
    </row>
    <row r="5045" spans="2:2" x14ac:dyDescent="0.25">
      <c r="B5045" s="3"/>
    </row>
    <row r="5046" spans="2:2" x14ac:dyDescent="0.25">
      <c r="B5046" s="3"/>
    </row>
    <row r="5047" spans="2:2" x14ac:dyDescent="0.25">
      <c r="B5047" s="3"/>
    </row>
    <row r="5048" spans="2:2" x14ac:dyDescent="0.25">
      <c r="B5048" s="3"/>
    </row>
    <row r="5049" spans="2:2" x14ac:dyDescent="0.25">
      <c r="B5049" s="3"/>
    </row>
    <row r="5050" spans="2:2" x14ac:dyDescent="0.25">
      <c r="B5050" s="3"/>
    </row>
    <row r="5051" spans="2:2" x14ac:dyDescent="0.25">
      <c r="B5051" s="3"/>
    </row>
    <row r="5052" spans="2:2" x14ac:dyDescent="0.25">
      <c r="B5052" s="3"/>
    </row>
    <row r="5053" spans="2:2" x14ac:dyDescent="0.25">
      <c r="B5053" s="3"/>
    </row>
    <row r="5054" spans="2:2" x14ac:dyDescent="0.25">
      <c r="B5054" s="3"/>
    </row>
    <row r="5055" spans="2:2" x14ac:dyDescent="0.25">
      <c r="B5055" s="3"/>
    </row>
    <row r="5056" spans="2:2" x14ac:dyDescent="0.25">
      <c r="B5056" s="3"/>
    </row>
    <row r="5057" spans="2:2" x14ac:dyDescent="0.25">
      <c r="B5057" s="3"/>
    </row>
    <row r="5058" spans="2:2" x14ac:dyDescent="0.25">
      <c r="B5058" s="3"/>
    </row>
    <row r="5059" spans="2:2" x14ac:dyDescent="0.25">
      <c r="B5059" s="3"/>
    </row>
    <row r="5060" spans="2:2" x14ac:dyDescent="0.25">
      <c r="B5060" s="3"/>
    </row>
    <row r="5061" spans="2:2" x14ac:dyDescent="0.25">
      <c r="B5061" s="3"/>
    </row>
    <row r="5062" spans="2:2" x14ac:dyDescent="0.25">
      <c r="B5062" s="3"/>
    </row>
    <row r="5063" spans="2:2" x14ac:dyDescent="0.25">
      <c r="B5063" s="3"/>
    </row>
    <row r="5064" spans="2:2" x14ac:dyDescent="0.25">
      <c r="B5064" s="3"/>
    </row>
    <row r="5065" spans="2:2" x14ac:dyDescent="0.25">
      <c r="B5065" s="3"/>
    </row>
    <row r="5066" spans="2:2" x14ac:dyDescent="0.25">
      <c r="B5066" s="3"/>
    </row>
    <row r="5067" spans="2:2" x14ac:dyDescent="0.25">
      <c r="B5067" s="3"/>
    </row>
    <row r="5068" spans="2:2" x14ac:dyDescent="0.25">
      <c r="B5068" s="3"/>
    </row>
    <row r="5069" spans="2:2" x14ac:dyDescent="0.25">
      <c r="B5069" s="3"/>
    </row>
    <row r="5070" spans="2:2" x14ac:dyDescent="0.25">
      <c r="B5070" s="3"/>
    </row>
    <row r="5071" spans="2:2" x14ac:dyDescent="0.25">
      <c r="B5071" s="3"/>
    </row>
    <row r="5072" spans="2:2" x14ac:dyDescent="0.25">
      <c r="B5072" s="3"/>
    </row>
    <row r="5073" spans="2:2" x14ac:dyDescent="0.25">
      <c r="B5073" s="3"/>
    </row>
    <row r="5074" spans="2:2" x14ac:dyDescent="0.25">
      <c r="B5074" s="3"/>
    </row>
    <row r="5075" spans="2:2" x14ac:dyDescent="0.25">
      <c r="B5075" s="3"/>
    </row>
    <row r="5076" spans="2:2" x14ac:dyDescent="0.25">
      <c r="B5076" s="3"/>
    </row>
    <row r="5077" spans="2:2" x14ac:dyDescent="0.25">
      <c r="B5077" s="3"/>
    </row>
    <row r="5078" spans="2:2" x14ac:dyDescent="0.25">
      <c r="B5078" s="3"/>
    </row>
    <row r="5079" spans="2:2" x14ac:dyDescent="0.25">
      <c r="B5079" s="3"/>
    </row>
    <row r="5080" spans="2:2" x14ac:dyDescent="0.25">
      <c r="B5080" s="3"/>
    </row>
    <row r="5081" spans="2:2" x14ac:dyDescent="0.25">
      <c r="B5081" s="3"/>
    </row>
    <row r="5082" spans="2:2" x14ac:dyDescent="0.25">
      <c r="B5082" s="3"/>
    </row>
    <row r="5083" spans="2:2" x14ac:dyDescent="0.25">
      <c r="B5083" s="3"/>
    </row>
    <row r="5084" spans="2:2" x14ac:dyDescent="0.25">
      <c r="B5084" s="3"/>
    </row>
    <row r="5085" spans="2:2" x14ac:dyDescent="0.25">
      <c r="B5085" s="3"/>
    </row>
    <row r="5086" spans="2:2" x14ac:dyDescent="0.25">
      <c r="B5086" s="3"/>
    </row>
    <row r="5087" spans="2:2" x14ac:dyDescent="0.25">
      <c r="B5087" s="3"/>
    </row>
    <row r="5088" spans="2:2" x14ac:dyDescent="0.25">
      <c r="B5088" s="3"/>
    </row>
    <row r="5089" spans="2:2" x14ac:dyDescent="0.25">
      <c r="B5089" s="3"/>
    </row>
    <row r="5090" spans="2:2" x14ac:dyDescent="0.25">
      <c r="B5090" s="3"/>
    </row>
    <row r="5091" spans="2:2" x14ac:dyDescent="0.25">
      <c r="B5091" s="3"/>
    </row>
    <row r="5092" spans="2:2" x14ac:dyDescent="0.25">
      <c r="B5092" s="3"/>
    </row>
    <row r="5093" spans="2:2" x14ac:dyDescent="0.25">
      <c r="B5093" s="3"/>
    </row>
    <row r="5094" spans="2:2" x14ac:dyDescent="0.25">
      <c r="B5094" s="3"/>
    </row>
    <row r="5095" spans="2:2" x14ac:dyDescent="0.25">
      <c r="B5095" s="3"/>
    </row>
    <row r="5096" spans="2:2" x14ac:dyDescent="0.25">
      <c r="B5096" s="3"/>
    </row>
    <row r="5097" spans="2:2" x14ac:dyDescent="0.25">
      <c r="B5097" s="3"/>
    </row>
    <row r="5098" spans="2:2" x14ac:dyDescent="0.25">
      <c r="B5098" s="3"/>
    </row>
    <row r="5099" spans="2:2" x14ac:dyDescent="0.25">
      <c r="B5099" s="3"/>
    </row>
    <row r="5100" spans="2:2" x14ac:dyDescent="0.25">
      <c r="B5100" s="3"/>
    </row>
    <row r="5101" spans="2:2" x14ac:dyDescent="0.25">
      <c r="B5101" s="3"/>
    </row>
    <row r="5102" spans="2:2" x14ac:dyDescent="0.25">
      <c r="B5102" s="3"/>
    </row>
    <row r="5103" spans="2:2" x14ac:dyDescent="0.25">
      <c r="B5103" s="3"/>
    </row>
    <row r="5104" spans="2:2" x14ac:dyDescent="0.25">
      <c r="B5104" s="3"/>
    </row>
    <row r="5105" spans="2:2" x14ac:dyDescent="0.25">
      <c r="B5105" s="3"/>
    </row>
    <row r="5106" spans="2:2" x14ac:dyDescent="0.25">
      <c r="B5106" s="3"/>
    </row>
    <row r="5107" spans="2:2" x14ac:dyDescent="0.25">
      <c r="B5107" s="3"/>
    </row>
    <row r="5108" spans="2:2" x14ac:dyDescent="0.25">
      <c r="B5108" s="3"/>
    </row>
    <row r="5109" spans="2:2" x14ac:dyDescent="0.25">
      <c r="B5109" s="3"/>
    </row>
    <row r="5110" spans="2:2" x14ac:dyDescent="0.25">
      <c r="B5110" s="3"/>
    </row>
    <row r="5111" spans="2:2" x14ac:dyDescent="0.25">
      <c r="B5111" s="3"/>
    </row>
    <row r="5112" spans="2:2" x14ac:dyDescent="0.25">
      <c r="B5112" s="3"/>
    </row>
    <row r="5113" spans="2:2" x14ac:dyDescent="0.25">
      <c r="B5113" s="3"/>
    </row>
    <row r="5114" spans="2:2" x14ac:dyDescent="0.25">
      <c r="B5114" s="3"/>
    </row>
    <row r="5115" spans="2:2" x14ac:dyDescent="0.25">
      <c r="B5115" s="3"/>
    </row>
    <row r="5116" spans="2:2" x14ac:dyDescent="0.25">
      <c r="B5116" s="3"/>
    </row>
    <row r="5117" spans="2:2" x14ac:dyDescent="0.25">
      <c r="B5117" s="3"/>
    </row>
    <row r="5118" spans="2:2" x14ac:dyDescent="0.25">
      <c r="B5118" s="3"/>
    </row>
    <row r="5119" spans="2:2" x14ac:dyDescent="0.25">
      <c r="B5119" s="3"/>
    </row>
    <row r="5120" spans="2:2" x14ac:dyDescent="0.25">
      <c r="B5120" s="3"/>
    </row>
    <row r="5121" spans="2:2" x14ac:dyDescent="0.25">
      <c r="B5121" s="3"/>
    </row>
    <row r="5122" spans="2:2" x14ac:dyDescent="0.25">
      <c r="B5122" s="3"/>
    </row>
    <row r="5123" spans="2:2" x14ac:dyDescent="0.25">
      <c r="B5123" s="3"/>
    </row>
    <row r="5124" spans="2:2" x14ac:dyDescent="0.25">
      <c r="B5124" s="3"/>
    </row>
    <row r="5125" spans="2:2" x14ac:dyDescent="0.25">
      <c r="B5125" s="3"/>
    </row>
    <row r="5126" spans="2:2" x14ac:dyDescent="0.25">
      <c r="B5126" s="3"/>
    </row>
    <row r="5127" spans="2:2" x14ac:dyDescent="0.25">
      <c r="B5127" s="3"/>
    </row>
    <row r="5128" spans="2:2" x14ac:dyDescent="0.25">
      <c r="B5128" s="3"/>
    </row>
    <row r="5129" spans="2:2" x14ac:dyDescent="0.25">
      <c r="B5129" s="3"/>
    </row>
    <row r="5130" spans="2:2" x14ac:dyDescent="0.25">
      <c r="B5130" s="3"/>
    </row>
    <row r="5131" spans="2:2" x14ac:dyDescent="0.25">
      <c r="B5131" s="3"/>
    </row>
    <row r="5132" spans="2:2" x14ac:dyDescent="0.25">
      <c r="B5132" s="3"/>
    </row>
    <row r="5133" spans="2:2" x14ac:dyDescent="0.25">
      <c r="B5133" s="3"/>
    </row>
    <row r="5134" spans="2:2" x14ac:dyDescent="0.25">
      <c r="B5134" s="3"/>
    </row>
    <row r="5135" spans="2:2" x14ac:dyDescent="0.25">
      <c r="B5135" s="3"/>
    </row>
    <row r="5136" spans="2:2" x14ac:dyDescent="0.25">
      <c r="B5136" s="3"/>
    </row>
    <row r="5137" spans="2:2" x14ac:dyDescent="0.25">
      <c r="B5137" s="3"/>
    </row>
    <row r="5138" spans="2:2" x14ac:dyDescent="0.25">
      <c r="B5138" s="3"/>
    </row>
    <row r="5139" spans="2:2" x14ac:dyDescent="0.25">
      <c r="B5139" s="3"/>
    </row>
    <row r="5140" spans="2:2" x14ac:dyDescent="0.25">
      <c r="B5140" s="3"/>
    </row>
    <row r="5141" spans="2:2" x14ac:dyDescent="0.25">
      <c r="B5141" s="3"/>
    </row>
    <row r="5142" spans="2:2" x14ac:dyDescent="0.25">
      <c r="B5142" s="3"/>
    </row>
    <row r="5143" spans="2:2" x14ac:dyDescent="0.25">
      <c r="B5143" s="3"/>
    </row>
    <row r="5144" spans="2:2" x14ac:dyDescent="0.25">
      <c r="B5144" s="3"/>
    </row>
    <row r="5145" spans="2:2" x14ac:dyDescent="0.25">
      <c r="B5145" s="3"/>
    </row>
    <row r="5146" spans="2:2" x14ac:dyDescent="0.25">
      <c r="B5146" s="3"/>
    </row>
    <row r="5147" spans="2:2" x14ac:dyDescent="0.25">
      <c r="B5147" s="3"/>
    </row>
    <row r="5148" spans="2:2" x14ac:dyDescent="0.25">
      <c r="B5148" s="3"/>
    </row>
    <row r="5149" spans="2:2" x14ac:dyDescent="0.25">
      <c r="B5149" s="3"/>
    </row>
    <row r="5150" spans="2:2" x14ac:dyDescent="0.25">
      <c r="B5150" s="3"/>
    </row>
    <row r="5151" spans="2:2" x14ac:dyDescent="0.25">
      <c r="B5151" s="3"/>
    </row>
    <row r="5152" spans="2:2" x14ac:dyDescent="0.25">
      <c r="B5152" s="3"/>
    </row>
    <row r="5153" spans="2:2" x14ac:dyDescent="0.25">
      <c r="B5153" s="3"/>
    </row>
    <row r="5154" spans="2:2" x14ac:dyDescent="0.25">
      <c r="B5154" s="3"/>
    </row>
    <row r="5155" spans="2:2" x14ac:dyDescent="0.25">
      <c r="B5155" s="3"/>
    </row>
    <row r="5156" spans="2:2" x14ac:dyDescent="0.25">
      <c r="B5156" s="3"/>
    </row>
    <row r="5157" spans="2:2" x14ac:dyDescent="0.25">
      <c r="B5157" s="3"/>
    </row>
    <row r="5158" spans="2:2" x14ac:dyDescent="0.25">
      <c r="B5158" s="3"/>
    </row>
    <row r="5159" spans="2:2" x14ac:dyDescent="0.25">
      <c r="B5159" s="3"/>
    </row>
    <row r="5160" spans="2:2" x14ac:dyDescent="0.25">
      <c r="B5160" s="3"/>
    </row>
    <row r="5161" spans="2:2" x14ac:dyDescent="0.25">
      <c r="B5161" s="3"/>
    </row>
    <row r="5162" spans="2:2" x14ac:dyDescent="0.25">
      <c r="B5162" s="3"/>
    </row>
    <row r="5163" spans="2:2" x14ac:dyDescent="0.25">
      <c r="B5163" s="3"/>
    </row>
    <row r="5164" spans="2:2" x14ac:dyDescent="0.25">
      <c r="B5164" s="3"/>
    </row>
    <row r="5165" spans="2:2" x14ac:dyDescent="0.25">
      <c r="B5165" s="3"/>
    </row>
    <row r="5166" spans="2:2" x14ac:dyDescent="0.25">
      <c r="B5166" s="3"/>
    </row>
    <row r="5167" spans="2:2" x14ac:dyDescent="0.25">
      <c r="B5167" s="3"/>
    </row>
    <row r="5168" spans="2:2" x14ac:dyDescent="0.25">
      <c r="B5168" s="3"/>
    </row>
    <row r="5169" spans="2:2" x14ac:dyDescent="0.25">
      <c r="B5169" s="3"/>
    </row>
    <row r="5170" spans="2:2" x14ac:dyDescent="0.25">
      <c r="B5170" s="3"/>
    </row>
    <row r="5171" spans="2:2" x14ac:dyDescent="0.25">
      <c r="B5171" s="3"/>
    </row>
    <row r="5172" spans="2:2" x14ac:dyDescent="0.25">
      <c r="B5172" s="3"/>
    </row>
    <row r="5173" spans="2:2" x14ac:dyDescent="0.25">
      <c r="B5173" s="3"/>
    </row>
    <row r="5174" spans="2:2" x14ac:dyDescent="0.25">
      <c r="B5174" s="3"/>
    </row>
    <row r="5175" spans="2:2" x14ac:dyDescent="0.25">
      <c r="B5175" s="3"/>
    </row>
    <row r="5176" spans="2:2" x14ac:dyDescent="0.25">
      <c r="B5176" s="3"/>
    </row>
    <row r="5177" spans="2:2" x14ac:dyDescent="0.25">
      <c r="B5177" s="3"/>
    </row>
    <row r="5178" spans="2:2" x14ac:dyDescent="0.25">
      <c r="B5178" s="3"/>
    </row>
    <row r="5179" spans="2:2" x14ac:dyDescent="0.25">
      <c r="B5179" s="3"/>
    </row>
    <row r="5180" spans="2:2" x14ac:dyDescent="0.25">
      <c r="B5180" s="3"/>
    </row>
    <row r="5181" spans="2:2" x14ac:dyDescent="0.25">
      <c r="B5181" s="3"/>
    </row>
    <row r="5182" spans="2:2" x14ac:dyDescent="0.25">
      <c r="B5182" s="3"/>
    </row>
    <row r="5183" spans="2:2" x14ac:dyDescent="0.25">
      <c r="B5183" s="3"/>
    </row>
    <row r="5184" spans="2:2" x14ac:dyDescent="0.25">
      <c r="B5184" s="3"/>
    </row>
    <row r="5185" spans="2:2" x14ac:dyDescent="0.25">
      <c r="B5185" s="3"/>
    </row>
    <row r="5186" spans="2:2" x14ac:dyDescent="0.25">
      <c r="B5186" s="3"/>
    </row>
    <row r="5187" spans="2:2" x14ac:dyDescent="0.25">
      <c r="B5187" s="3"/>
    </row>
    <row r="5188" spans="2:2" x14ac:dyDescent="0.25">
      <c r="B5188" s="3"/>
    </row>
    <row r="5189" spans="2:2" x14ac:dyDescent="0.25">
      <c r="B5189" s="3"/>
    </row>
    <row r="5190" spans="2:2" x14ac:dyDescent="0.25">
      <c r="B5190" s="3"/>
    </row>
    <row r="5191" spans="2:2" x14ac:dyDescent="0.25">
      <c r="B5191" s="3"/>
    </row>
    <row r="5192" spans="2:2" x14ac:dyDescent="0.25">
      <c r="B5192" s="3"/>
    </row>
    <row r="5193" spans="2:2" x14ac:dyDescent="0.25">
      <c r="B5193" s="3"/>
    </row>
    <row r="5194" spans="2:2" x14ac:dyDescent="0.25">
      <c r="B5194" s="3"/>
    </row>
    <row r="5195" spans="2:2" x14ac:dyDescent="0.25">
      <c r="B5195" s="3"/>
    </row>
    <row r="5196" spans="2:2" x14ac:dyDescent="0.25">
      <c r="B5196" s="3"/>
    </row>
    <row r="5197" spans="2:2" x14ac:dyDescent="0.25">
      <c r="B5197" s="3"/>
    </row>
    <row r="5198" spans="2:2" x14ac:dyDescent="0.25">
      <c r="B5198" s="3"/>
    </row>
    <row r="5199" spans="2:2" x14ac:dyDescent="0.25">
      <c r="B5199" s="3"/>
    </row>
    <row r="5200" spans="2:2" x14ac:dyDescent="0.25">
      <c r="B5200" s="3"/>
    </row>
    <row r="5201" spans="2:2" x14ac:dyDescent="0.25">
      <c r="B5201" s="3"/>
    </row>
    <row r="5202" spans="2:2" x14ac:dyDescent="0.25">
      <c r="B5202" s="3"/>
    </row>
    <row r="5203" spans="2:2" x14ac:dyDescent="0.25">
      <c r="B5203" s="3"/>
    </row>
    <row r="5204" spans="2:2" x14ac:dyDescent="0.25">
      <c r="B5204" s="3"/>
    </row>
    <row r="5205" spans="2:2" x14ac:dyDescent="0.25">
      <c r="B5205" s="3"/>
    </row>
    <row r="5206" spans="2:2" x14ac:dyDescent="0.25">
      <c r="B5206" s="3"/>
    </row>
    <row r="5207" spans="2:2" x14ac:dyDescent="0.25">
      <c r="B5207" s="3"/>
    </row>
    <row r="5208" spans="2:2" x14ac:dyDescent="0.25">
      <c r="B5208" s="3"/>
    </row>
    <row r="5209" spans="2:2" x14ac:dyDescent="0.25">
      <c r="B5209" s="3"/>
    </row>
    <row r="5210" spans="2:2" x14ac:dyDescent="0.25">
      <c r="B5210" s="3"/>
    </row>
    <row r="5211" spans="2:2" x14ac:dyDescent="0.25">
      <c r="B5211" s="3"/>
    </row>
    <row r="5212" spans="2:2" x14ac:dyDescent="0.25">
      <c r="B5212" s="3"/>
    </row>
    <row r="5213" spans="2:2" x14ac:dyDescent="0.25">
      <c r="B5213" s="3"/>
    </row>
    <row r="5214" spans="2:2" x14ac:dyDescent="0.25">
      <c r="B5214" s="3"/>
    </row>
    <row r="5215" spans="2:2" x14ac:dyDescent="0.25">
      <c r="B5215" s="3"/>
    </row>
    <row r="5216" spans="2:2" x14ac:dyDescent="0.25">
      <c r="B5216" s="3"/>
    </row>
    <row r="5217" spans="2:2" x14ac:dyDescent="0.25">
      <c r="B5217" s="3"/>
    </row>
    <row r="5218" spans="2:2" x14ac:dyDescent="0.25">
      <c r="B5218" s="3"/>
    </row>
    <row r="5219" spans="2:2" x14ac:dyDescent="0.25">
      <c r="B5219" s="3"/>
    </row>
    <row r="5220" spans="2:2" x14ac:dyDescent="0.25">
      <c r="B5220" s="3"/>
    </row>
    <row r="5221" spans="2:2" x14ac:dyDescent="0.25">
      <c r="B5221" s="3"/>
    </row>
    <row r="5222" spans="2:2" x14ac:dyDescent="0.25">
      <c r="B5222" s="3"/>
    </row>
    <row r="5223" spans="2:2" x14ac:dyDescent="0.25">
      <c r="B5223" s="3"/>
    </row>
    <row r="5224" spans="2:2" x14ac:dyDescent="0.25">
      <c r="B5224" s="3"/>
    </row>
    <row r="5225" spans="2:2" x14ac:dyDescent="0.25">
      <c r="B5225" s="3"/>
    </row>
    <row r="5226" spans="2:2" x14ac:dyDescent="0.25">
      <c r="B5226" s="3"/>
    </row>
    <row r="5227" spans="2:2" x14ac:dyDescent="0.25">
      <c r="B5227" s="3"/>
    </row>
    <row r="5228" spans="2:2" x14ac:dyDescent="0.25">
      <c r="B5228" s="3"/>
    </row>
    <row r="5229" spans="2:2" x14ac:dyDescent="0.25">
      <c r="B5229" s="3"/>
    </row>
    <row r="5230" spans="2:2" x14ac:dyDescent="0.25">
      <c r="B5230" s="3"/>
    </row>
    <row r="5231" spans="2:2" x14ac:dyDescent="0.25">
      <c r="B5231" s="3"/>
    </row>
    <row r="5232" spans="2:2" x14ac:dyDescent="0.25">
      <c r="B5232" s="3"/>
    </row>
    <row r="5233" spans="2:2" x14ac:dyDescent="0.25">
      <c r="B5233" s="3"/>
    </row>
    <row r="5234" spans="2:2" x14ac:dyDescent="0.25">
      <c r="B5234" s="3"/>
    </row>
    <row r="5235" spans="2:2" x14ac:dyDescent="0.25">
      <c r="B5235" s="3"/>
    </row>
    <row r="5236" spans="2:2" x14ac:dyDescent="0.25">
      <c r="B5236" s="3"/>
    </row>
    <row r="5237" spans="2:2" x14ac:dyDescent="0.25">
      <c r="B5237" s="3"/>
    </row>
    <row r="5238" spans="2:2" x14ac:dyDescent="0.25">
      <c r="B5238" s="3"/>
    </row>
    <row r="5239" spans="2:2" x14ac:dyDescent="0.25">
      <c r="B5239" s="3"/>
    </row>
    <row r="5240" spans="2:2" x14ac:dyDescent="0.25">
      <c r="B5240" s="3"/>
    </row>
    <row r="5241" spans="2:2" x14ac:dyDescent="0.25">
      <c r="B5241" s="3"/>
    </row>
    <row r="5242" spans="2:2" x14ac:dyDescent="0.25">
      <c r="B5242" s="3"/>
    </row>
    <row r="5243" spans="2:2" x14ac:dyDescent="0.25">
      <c r="B5243" s="3"/>
    </row>
    <row r="5244" spans="2:2" x14ac:dyDescent="0.25">
      <c r="B5244" s="3"/>
    </row>
    <row r="5245" spans="2:2" x14ac:dyDescent="0.25">
      <c r="B5245" s="3"/>
    </row>
    <row r="5246" spans="2:2" x14ac:dyDescent="0.25">
      <c r="B5246" s="3"/>
    </row>
    <row r="5247" spans="2:2" x14ac:dyDescent="0.25">
      <c r="B5247" s="3"/>
    </row>
    <row r="5248" spans="2:2" x14ac:dyDescent="0.25">
      <c r="B5248" s="3"/>
    </row>
    <row r="5249" spans="2:2" x14ac:dyDescent="0.25">
      <c r="B5249" s="3"/>
    </row>
    <row r="5250" spans="2:2" x14ac:dyDescent="0.25">
      <c r="B5250" s="3"/>
    </row>
    <row r="5251" spans="2:2" x14ac:dyDescent="0.25">
      <c r="B5251" s="3"/>
    </row>
    <row r="5252" spans="2:2" x14ac:dyDescent="0.25">
      <c r="B5252" s="3"/>
    </row>
    <row r="5253" spans="2:2" x14ac:dyDescent="0.25">
      <c r="B5253" s="3"/>
    </row>
    <row r="5254" spans="2:2" x14ac:dyDescent="0.25">
      <c r="B5254" s="3"/>
    </row>
    <row r="5255" spans="2:2" x14ac:dyDescent="0.25">
      <c r="B5255" s="3"/>
    </row>
    <row r="5256" spans="2:2" x14ac:dyDescent="0.25">
      <c r="B5256" s="3"/>
    </row>
    <row r="5257" spans="2:2" x14ac:dyDescent="0.25">
      <c r="B5257" s="3"/>
    </row>
    <row r="5258" spans="2:2" x14ac:dyDescent="0.25">
      <c r="B5258" s="3"/>
    </row>
    <row r="5259" spans="2:2" x14ac:dyDescent="0.25">
      <c r="B5259" s="3"/>
    </row>
    <row r="5260" spans="2:2" x14ac:dyDescent="0.25">
      <c r="B5260" s="3"/>
    </row>
    <row r="5261" spans="2:2" x14ac:dyDescent="0.25">
      <c r="B5261" s="3"/>
    </row>
    <row r="5262" spans="2:2" x14ac:dyDescent="0.25">
      <c r="B5262" s="3"/>
    </row>
    <row r="5263" spans="2:2" x14ac:dyDescent="0.25">
      <c r="B5263" s="3"/>
    </row>
    <row r="5264" spans="2:2" x14ac:dyDescent="0.25">
      <c r="B5264" s="3"/>
    </row>
    <row r="5265" spans="2:2" x14ac:dyDescent="0.25">
      <c r="B5265" s="3"/>
    </row>
    <row r="5266" spans="2:2" x14ac:dyDescent="0.25">
      <c r="B5266" s="3"/>
    </row>
    <row r="5267" spans="2:2" x14ac:dyDescent="0.25">
      <c r="B5267" s="3"/>
    </row>
    <row r="5268" spans="2:2" x14ac:dyDescent="0.25">
      <c r="B5268" s="3"/>
    </row>
    <row r="5269" spans="2:2" x14ac:dyDescent="0.25">
      <c r="B5269" s="3"/>
    </row>
    <row r="5270" spans="2:2" x14ac:dyDescent="0.25">
      <c r="B5270" s="3"/>
    </row>
    <row r="5271" spans="2:2" x14ac:dyDescent="0.25">
      <c r="B5271" s="3"/>
    </row>
    <row r="5272" spans="2:2" x14ac:dyDescent="0.25">
      <c r="B5272" s="3"/>
    </row>
    <row r="5273" spans="2:2" x14ac:dyDescent="0.25">
      <c r="B5273" s="3"/>
    </row>
    <row r="5274" spans="2:2" x14ac:dyDescent="0.25">
      <c r="B5274" s="3"/>
    </row>
    <row r="5275" spans="2:2" x14ac:dyDescent="0.25">
      <c r="B5275" s="3"/>
    </row>
    <row r="5276" spans="2:2" x14ac:dyDescent="0.25">
      <c r="B5276" s="3"/>
    </row>
    <row r="5277" spans="2:2" x14ac:dyDescent="0.25">
      <c r="B5277" s="3"/>
    </row>
    <row r="5278" spans="2:2" x14ac:dyDescent="0.25">
      <c r="B5278" s="3"/>
    </row>
    <row r="5279" spans="2:2" x14ac:dyDescent="0.25">
      <c r="B5279" s="3"/>
    </row>
    <row r="5280" spans="2:2" x14ac:dyDescent="0.25">
      <c r="B5280" s="3"/>
    </row>
    <row r="5281" spans="2:2" x14ac:dyDescent="0.25">
      <c r="B5281" s="3"/>
    </row>
    <row r="5282" spans="2:2" x14ac:dyDescent="0.25">
      <c r="B5282" s="3"/>
    </row>
    <row r="5283" spans="2:2" x14ac:dyDescent="0.25">
      <c r="B5283" s="3"/>
    </row>
    <row r="5284" spans="2:2" x14ac:dyDescent="0.25">
      <c r="B5284" s="3"/>
    </row>
    <row r="5285" spans="2:2" x14ac:dyDescent="0.25">
      <c r="B5285" s="3"/>
    </row>
    <row r="5286" spans="2:2" x14ac:dyDescent="0.25">
      <c r="B5286" s="3"/>
    </row>
    <row r="5287" spans="2:2" x14ac:dyDescent="0.25">
      <c r="B5287" s="3"/>
    </row>
    <row r="5288" spans="2:2" x14ac:dyDescent="0.25">
      <c r="B5288" s="3"/>
    </row>
    <row r="5289" spans="2:2" x14ac:dyDescent="0.25">
      <c r="B5289" s="3"/>
    </row>
    <row r="5290" spans="2:2" x14ac:dyDescent="0.25">
      <c r="B5290" s="3"/>
    </row>
    <row r="5291" spans="2:2" x14ac:dyDescent="0.25">
      <c r="B5291" s="3"/>
    </row>
    <row r="5292" spans="2:2" x14ac:dyDescent="0.25">
      <c r="B5292" s="3"/>
    </row>
    <row r="5293" spans="2:2" x14ac:dyDescent="0.25">
      <c r="B5293" s="3"/>
    </row>
    <row r="5294" spans="2:2" x14ac:dyDescent="0.25">
      <c r="B5294" s="3"/>
    </row>
    <row r="5295" spans="2:2" x14ac:dyDescent="0.25">
      <c r="B5295" s="3"/>
    </row>
    <row r="5296" spans="2:2" x14ac:dyDescent="0.25">
      <c r="B5296" s="3"/>
    </row>
    <row r="5297" spans="2:2" x14ac:dyDescent="0.25">
      <c r="B5297" s="3"/>
    </row>
    <row r="5298" spans="2:2" x14ac:dyDescent="0.25">
      <c r="B5298" s="3"/>
    </row>
    <row r="5299" spans="2:2" x14ac:dyDescent="0.25">
      <c r="B5299" s="3"/>
    </row>
    <row r="5300" spans="2:2" x14ac:dyDescent="0.25">
      <c r="B5300" s="3"/>
    </row>
    <row r="5301" spans="2:2" x14ac:dyDescent="0.25">
      <c r="B5301" s="3"/>
    </row>
    <row r="5302" spans="2:2" x14ac:dyDescent="0.25">
      <c r="B5302" s="3"/>
    </row>
    <row r="5303" spans="2:2" x14ac:dyDescent="0.25">
      <c r="B5303" s="3"/>
    </row>
    <row r="5304" spans="2:2" x14ac:dyDescent="0.25">
      <c r="B5304" s="3"/>
    </row>
    <row r="5305" spans="2:2" x14ac:dyDescent="0.25">
      <c r="B5305" s="3"/>
    </row>
    <row r="5306" spans="2:2" x14ac:dyDescent="0.25">
      <c r="B5306" s="3"/>
    </row>
    <row r="5307" spans="2:2" x14ac:dyDescent="0.25">
      <c r="B5307" s="3"/>
    </row>
    <row r="5308" spans="2:2" x14ac:dyDescent="0.25">
      <c r="B5308" s="3"/>
    </row>
    <row r="5309" spans="2:2" x14ac:dyDescent="0.25">
      <c r="B5309" s="3"/>
    </row>
    <row r="5310" spans="2:2" x14ac:dyDescent="0.25">
      <c r="B5310" s="3"/>
    </row>
    <row r="5311" spans="2:2" x14ac:dyDescent="0.25">
      <c r="B5311" s="3"/>
    </row>
    <row r="5312" spans="2:2" x14ac:dyDescent="0.25">
      <c r="B5312" s="3"/>
    </row>
    <row r="5313" spans="2:2" x14ac:dyDescent="0.25">
      <c r="B5313" s="3"/>
    </row>
    <row r="5314" spans="2:2" x14ac:dyDescent="0.25">
      <c r="B5314" s="3"/>
    </row>
    <row r="5315" spans="2:2" x14ac:dyDescent="0.25">
      <c r="B5315" s="3"/>
    </row>
    <row r="5316" spans="2:2" x14ac:dyDescent="0.25">
      <c r="B5316" s="3"/>
    </row>
    <row r="5317" spans="2:2" x14ac:dyDescent="0.25">
      <c r="B5317" s="3"/>
    </row>
    <row r="5318" spans="2:2" x14ac:dyDescent="0.25">
      <c r="B5318" s="3"/>
    </row>
    <row r="5319" spans="2:2" x14ac:dyDescent="0.25">
      <c r="B5319" s="3"/>
    </row>
    <row r="5320" spans="2:2" x14ac:dyDescent="0.25">
      <c r="B5320" s="3"/>
    </row>
    <row r="5321" spans="2:2" x14ac:dyDescent="0.25">
      <c r="B5321" s="3"/>
    </row>
    <row r="5322" spans="2:2" x14ac:dyDescent="0.25">
      <c r="B5322" s="3"/>
    </row>
    <row r="5323" spans="2:2" x14ac:dyDescent="0.25">
      <c r="B5323" s="3"/>
    </row>
    <row r="5324" spans="2:2" x14ac:dyDescent="0.25">
      <c r="B5324" s="3"/>
    </row>
    <row r="5325" spans="2:2" x14ac:dyDescent="0.25">
      <c r="B5325" s="3"/>
    </row>
    <row r="5326" spans="2:2" x14ac:dyDescent="0.25">
      <c r="B5326" s="3"/>
    </row>
    <row r="5327" spans="2:2" x14ac:dyDescent="0.25">
      <c r="B5327" s="3"/>
    </row>
    <row r="5328" spans="2:2" x14ac:dyDescent="0.25">
      <c r="B5328" s="3"/>
    </row>
    <row r="5329" spans="2:2" x14ac:dyDescent="0.25">
      <c r="B5329" s="3"/>
    </row>
    <row r="5330" spans="2:2" x14ac:dyDescent="0.25">
      <c r="B5330" s="3"/>
    </row>
    <row r="5331" spans="2:2" x14ac:dyDescent="0.25">
      <c r="B5331" s="3"/>
    </row>
    <row r="5332" spans="2:2" x14ac:dyDescent="0.25">
      <c r="B5332" s="3"/>
    </row>
    <row r="5333" spans="2:2" x14ac:dyDescent="0.25">
      <c r="B5333" s="3"/>
    </row>
    <row r="5334" spans="2:2" x14ac:dyDescent="0.25">
      <c r="B5334" s="3"/>
    </row>
    <row r="5335" spans="2:2" x14ac:dyDescent="0.25">
      <c r="B5335" s="3"/>
    </row>
    <row r="5336" spans="2:2" x14ac:dyDescent="0.25">
      <c r="B5336" s="3"/>
    </row>
    <row r="5337" spans="2:2" x14ac:dyDescent="0.25">
      <c r="B5337" s="3"/>
    </row>
    <row r="5338" spans="2:2" x14ac:dyDescent="0.25">
      <c r="B5338" s="3"/>
    </row>
    <row r="5339" spans="2:2" x14ac:dyDescent="0.25">
      <c r="B5339" s="3"/>
    </row>
    <row r="5340" spans="2:2" x14ac:dyDescent="0.25">
      <c r="B5340" s="3"/>
    </row>
    <row r="5341" spans="2:2" x14ac:dyDescent="0.25">
      <c r="B5341" s="3"/>
    </row>
    <row r="5342" spans="2:2" x14ac:dyDescent="0.25">
      <c r="B5342" s="3"/>
    </row>
    <row r="5343" spans="2:2" x14ac:dyDescent="0.25">
      <c r="B5343" s="3"/>
    </row>
    <row r="5344" spans="2:2" x14ac:dyDescent="0.25">
      <c r="B5344" s="3"/>
    </row>
    <row r="5345" spans="2:2" x14ac:dyDescent="0.25">
      <c r="B5345" s="3"/>
    </row>
    <row r="5346" spans="2:2" x14ac:dyDescent="0.25">
      <c r="B5346" s="3"/>
    </row>
    <row r="5347" spans="2:2" x14ac:dyDescent="0.25">
      <c r="B5347" s="3"/>
    </row>
    <row r="5348" spans="2:2" x14ac:dyDescent="0.25">
      <c r="B5348" s="3"/>
    </row>
    <row r="5349" spans="2:2" x14ac:dyDescent="0.25">
      <c r="B5349" s="3"/>
    </row>
    <row r="5350" spans="2:2" x14ac:dyDescent="0.25">
      <c r="B5350" s="3"/>
    </row>
    <row r="5351" spans="2:2" x14ac:dyDescent="0.25">
      <c r="B5351" s="3"/>
    </row>
    <row r="5352" spans="2:2" x14ac:dyDescent="0.25">
      <c r="B5352" s="3"/>
    </row>
    <row r="5353" spans="2:2" x14ac:dyDescent="0.25">
      <c r="B5353" s="3"/>
    </row>
    <row r="5354" spans="2:2" x14ac:dyDescent="0.25">
      <c r="B5354" s="3"/>
    </row>
    <row r="5355" spans="2:2" x14ac:dyDescent="0.25">
      <c r="B5355" s="3"/>
    </row>
    <row r="5356" spans="2:2" x14ac:dyDescent="0.25">
      <c r="B5356" s="3"/>
    </row>
    <row r="5357" spans="2:2" x14ac:dyDescent="0.25">
      <c r="B5357" s="3"/>
    </row>
    <row r="5358" spans="2:2" x14ac:dyDescent="0.25">
      <c r="B5358" s="3"/>
    </row>
    <row r="5359" spans="2:2" x14ac:dyDescent="0.25">
      <c r="B5359" s="3"/>
    </row>
    <row r="5360" spans="2:2" x14ac:dyDescent="0.25">
      <c r="B5360" s="3"/>
    </row>
    <row r="5361" spans="2:2" x14ac:dyDescent="0.25">
      <c r="B5361" s="3"/>
    </row>
    <row r="5362" spans="2:2" x14ac:dyDescent="0.25">
      <c r="B5362" s="3"/>
    </row>
    <row r="5363" spans="2:2" x14ac:dyDescent="0.25">
      <c r="B5363" s="3"/>
    </row>
    <row r="5364" spans="2:2" x14ac:dyDescent="0.25">
      <c r="B5364" s="3"/>
    </row>
    <row r="5365" spans="2:2" x14ac:dyDescent="0.25">
      <c r="B5365" s="3"/>
    </row>
    <row r="5366" spans="2:2" x14ac:dyDescent="0.25">
      <c r="B5366" s="3"/>
    </row>
    <row r="5367" spans="2:2" x14ac:dyDescent="0.25">
      <c r="B5367" s="3"/>
    </row>
    <row r="5368" spans="2:2" x14ac:dyDescent="0.25">
      <c r="B5368" s="3"/>
    </row>
    <row r="5369" spans="2:2" x14ac:dyDescent="0.25">
      <c r="B5369" s="3"/>
    </row>
    <row r="5370" spans="2:2" x14ac:dyDescent="0.25">
      <c r="B5370" s="3"/>
    </row>
    <row r="5371" spans="2:2" x14ac:dyDescent="0.25">
      <c r="B5371" s="3"/>
    </row>
    <row r="5372" spans="2:2" x14ac:dyDescent="0.25">
      <c r="B5372" s="3"/>
    </row>
    <row r="5373" spans="2:2" x14ac:dyDescent="0.25">
      <c r="B5373" s="3"/>
    </row>
    <row r="5374" spans="2:2" x14ac:dyDescent="0.25">
      <c r="B5374" s="3"/>
    </row>
    <row r="5375" spans="2:2" x14ac:dyDescent="0.25">
      <c r="B5375" s="3"/>
    </row>
    <row r="5376" spans="2:2" x14ac:dyDescent="0.25">
      <c r="B5376" s="3"/>
    </row>
    <row r="5377" spans="2:2" x14ac:dyDescent="0.25">
      <c r="B5377" s="3"/>
    </row>
    <row r="5378" spans="2:2" x14ac:dyDescent="0.25">
      <c r="B5378" s="3"/>
    </row>
    <row r="5379" spans="2:2" x14ac:dyDescent="0.25">
      <c r="B5379" s="3"/>
    </row>
    <row r="5380" spans="2:2" x14ac:dyDescent="0.25">
      <c r="B5380" s="3"/>
    </row>
    <row r="5381" spans="2:2" x14ac:dyDescent="0.25">
      <c r="B5381" s="3"/>
    </row>
    <row r="5382" spans="2:2" x14ac:dyDescent="0.25">
      <c r="B5382" s="3"/>
    </row>
    <row r="5383" spans="2:2" x14ac:dyDescent="0.25">
      <c r="B5383" s="3"/>
    </row>
    <row r="5384" spans="2:2" x14ac:dyDescent="0.25">
      <c r="B5384" s="3"/>
    </row>
    <row r="5385" spans="2:2" x14ac:dyDescent="0.25">
      <c r="B5385" s="3"/>
    </row>
    <row r="5386" spans="2:2" x14ac:dyDescent="0.25">
      <c r="B5386" s="3"/>
    </row>
    <row r="5387" spans="2:2" x14ac:dyDescent="0.25">
      <c r="B5387" s="3"/>
    </row>
    <row r="5388" spans="2:2" x14ac:dyDescent="0.25">
      <c r="B5388" s="3"/>
    </row>
    <row r="5389" spans="2:2" x14ac:dyDescent="0.25">
      <c r="B5389" s="3"/>
    </row>
    <row r="5390" spans="2:2" x14ac:dyDescent="0.25">
      <c r="B5390" s="3"/>
    </row>
    <row r="5391" spans="2:2" x14ac:dyDescent="0.25">
      <c r="B5391" s="3"/>
    </row>
    <row r="5392" spans="2:2" x14ac:dyDescent="0.25">
      <c r="B5392" s="3"/>
    </row>
    <row r="5393" spans="2:2" x14ac:dyDescent="0.25">
      <c r="B5393" s="3"/>
    </row>
    <row r="5394" spans="2:2" x14ac:dyDescent="0.25">
      <c r="B5394" s="3"/>
    </row>
    <row r="5395" spans="2:2" x14ac:dyDescent="0.25">
      <c r="B5395" s="3"/>
    </row>
    <row r="5396" spans="2:2" x14ac:dyDescent="0.25">
      <c r="B5396" s="3"/>
    </row>
    <row r="5397" spans="2:2" x14ac:dyDescent="0.25">
      <c r="B5397" s="3"/>
    </row>
    <row r="5398" spans="2:2" x14ac:dyDescent="0.25">
      <c r="B5398" s="3"/>
    </row>
    <row r="5399" spans="2:2" x14ac:dyDescent="0.25">
      <c r="B5399" s="3"/>
    </row>
    <row r="5400" spans="2:2" x14ac:dyDescent="0.25">
      <c r="B5400" s="3"/>
    </row>
    <row r="5401" spans="2:2" x14ac:dyDescent="0.25">
      <c r="B5401" s="3"/>
    </row>
    <row r="5402" spans="2:2" x14ac:dyDescent="0.25">
      <c r="B5402" s="3"/>
    </row>
    <row r="5403" spans="2:2" x14ac:dyDescent="0.25">
      <c r="B5403" s="3"/>
    </row>
    <row r="5404" spans="2:2" x14ac:dyDescent="0.25">
      <c r="B5404" s="3"/>
    </row>
    <row r="5405" spans="2:2" x14ac:dyDescent="0.25">
      <c r="B5405" s="3"/>
    </row>
    <row r="5406" spans="2:2" x14ac:dyDescent="0.25">
      <c r="B5406" s="3"/>
    </row>
    <row r="5407" spans="2:2" x14ac:dyDescent="0.25">
      <c r="B5407" s="3"/>
    </row>
    <row r="5408" spans="2:2" x14ac:dyDescent="0.25">
      <c r="B5408" s="3"/>
    </row>
    <row r="5409" spans="2:2" x14ac:dyDescent="0.25">
      <c r="B5409" s="3"/>
    </row>
    <row r="5410" spans="2:2" x14ac:dyDescent="0.25">
      <c r="B5410" s="3"/>
    </row>
    <row r="5411" spans="2:2" x14ac:dyDescent="0.25">
      <c r="B5411" s="3"/>
    </row>
    <row r="5412" spans="2:2" x14ac:dyDescent="0.25">
      <c r="B5412" s="3"/>
    </row>
    <row r="5413" spans="2:2" x14ac:dyDescent="0.25">
      <c r="B5413" s="3"/>
    </row>
    <row r="5414" spans="2:2" x14ac:dyDescent="0.25">
      <c r="B5414" s="3"/>
    </row>
    <row r="5415" spans="2:2" x14ac:dyDescent="0.25">
      <c r="B5415" s="3"/>
    </row>
    <row r="5416" spans="2:2" x14ac:dyDescent="0.25">
      <c r="B5416" s="3"/>
    </row>
    <row r="5417" spans="2:2" x14ac:dyDescent="0.25">
      <c r="B5417" s="3"/>
    </row>
    <row r="5418" spans="2:2" x14ac:dyDescent="0.25">
      <c r="B5418" s="3"/>
    </row>
    <row r="5419" spans="2:2" x14ac:dyDescent="0.25">
      <c r="B5419" s="3"/>
    </row>
    <row r="5420" spans="2:2" x14ac:dyDescent="0.25">
      <c r="B5420" s="3"/>
    </row>
    <row r="5421" spans="2:2" x14ac:dyDescent="0.25">
      <c r="B5421" s="3"/>
    </row>
    <row r="5422" spans="2:2" x14ac:dyDescent="0.25">
      <c r="B5422" s="3"/>
    </row>
    <row r="5423" spans="2:2" x14ac:dyDescent="0.25">
      <c r="B5423" s="3"/>
    </row>
    <row r="5424" spans="2:2" x14ac:dyDescent="0.25">
      <c r="B5424" s="3"/>
    </row>
    <row r="5425" spans="2:2" x14ac:dyDescent="0.25">
      <c r="B5425" s="3"/>
    </row>
    <row r="5426" spans="2:2" x14ac:dyDescent="0.25">
      <c r="B5426" s="3"/>
    </row>
    <row r="5427" spans="2:2" x14ac:dyDescent="0.25">
      <c r="B5427" s="3"/>
    </row>
    <row r="5428" spans="2:2" x14ac:dyDescent="0.25">
      <c r="B5428" s="3"/>
    </row>
    <row r="5429" spans="2:2" x14ac:dyDescent="0.25">
      <c r="B5429" s="3"/>
    </row>
    <row r="5430" spans="2:2" x14ac:dyDescent="0.25">
      <c r="B5430" s="3"/>
    </row>
    <row r="5431" spans="2:2" x14ac:dyDescent="0.25">
      <c r="B5431" s="3"/>
    </row>
    <row r="5432" spans="2:2" x14ac:dyDescent="0.25">
      <c r="B5432" s="3"/>
    </row>
    <row r="5433" spans="2:2" x14ac:dyDescent="0.25">
      <c r="B5433" s="3"/>
    </row>
    <row r="5434" spans="2:2" x14ac:dyDescent="0.25">
      <c r="B5434" s="3"/>
    </row>
    <row r="5435" spans="2:2" x14ac:dyDescent="0.25">
      <c r="B5435" s="3"/>
    </row>
    <row r="5436" spans="2:2" x14ac:dyDescent="0.25">
      <c r="B5436" s="3"/>
    </row>
    <row r="5437" spans="2:2" x14ac:dyDescent="0.25">
      <c r="B5437" s="3"/>
    </row>
    <row r="5438" spans="2:2" x14ac:dyDescent="0.25">
      <c r="B5438" s="3"/>
    </row>
    <row r="5439" spans="2:2" x14ac:dyDescent="0.25">
      <c r="B5439" s="3"/>
    </row>
    <row r="5440" spans="2:2" x14ac:dyDescent="0.25">
      <c r="B5440" s="3"/>
    </row>
    <row r="5441" spans="2:2" x14ac:dyDescent="0.25">
      <c r="B5441" s="3"/>
    </row>
    <row r="5442" spans="2:2" x14ac:dyDescent="0.25">
      <c r="B5442" s="3"/>
    </row>
    <row r="5443" spans="2:2" x14ac:dyDescent="0.25">
      <c r="B5443" s="3"/>
    </row>
    <row r="5444" spans="2:2" x14ac:dyDescent="0.25">
      <c r="B5444" s="3"/>
    </row>
    <row r="5445" spans="2:2" x14ac:dyDescent="0.25">
      <c r="B5445" s="3"/>
    </row>
    <row r="5446" spans="2:2" x14ac:dyDescent="0.25">
      <c r="B5446" s="3"/>
    </row>
    <row r="5447" spans="2:2" x14ac:dyDescent="0.25">
      <c r="B5447" s="3"/>
    </row>
    <row r="5448" spans="2:2" x14ac:dyDescent="0.25">
      <c r="B5448" s="3"/>
    </row>
    <row r="5449" spans="2:2" x14ac:dyDescent="0.25">
      <c r="B5449" s="3"/>
    </row>
    <row r="5450" spans="2:2" x14ac:dyDescent="0.25">
      <c r="B5450" s="3"/>
    </row>
    <row r="5451" spans="2:2" x14ac:dyDescent="0.25">
      <c r="B5451" s="3"/>
    </row>
    <row r="5452" spans="2:2" x14ac:dyDescent="0.25">
      <c r="B5452" s="3"/>
    </row>
    <row r="5453" spans="2:2" x14ac:dyDescent="0.25">
      <c r="B5453" s="3"/>
    </row>
    <row r="5454" spans="2:2" x14ac:dyDescent="0.25">
      <c r="B5454" s="3"/>
    </row>
    <row r="5455" spans="2:2" x14ac:dyDescent="0.25">
      <c r="B5455" s="3"/>
    </row>
    <row r="5456" spans="2:2" x14ac:dyDescent="0.25">
      <c r="B5456" s="3"/>
    </row>
    <row r="5457" spans="2:2" x14ac:dyDescent="0.25">
      <c r="B5457" s="3"/>
    </row>
    <row r="5458" spans="2:2" x14ac:dyDescent="0.25">
      <c r="B5458" s="3"/>
    </row>
    <row r="5459" spans="2:2" x14ac:dyDescent="0.25">
      <c r="B5459" s="3"/>
    </row>
    <row r="5460" spans="2:2" x14ac:dyDescent="0.25">
      <c r="B5460" s="3"/>
    </row>
    <row r="5461" spans="2:2" x14ac:dyDescent="0.25">
      <c r="B5461" s="3"/>
    </row>
    <row r="5462" spans="2:2" x14ac:dyDescent="0.25">
      <c r="B5462" s="3"/>
    </row>
    <row r="5463" spans="2:2" x14ac:dyDescent="0.25">
      <c r="B5463" s="3"/>
    </row>
    <row r="5464" spans="2:2" x14ac:dyDescent="0.25">
      <c r="B5464" s="3"/>
    </row>
    <row r="5465" spans="2:2" x14ac:dyDescent="0.25">
      <c r="B5465" s="3"/>
    </row>
    <row r="5466" spans="2:2" x14ac:dyDescent="0.25">
      <c r="B5466" s="3"/>
    </row>
    <row r="5467" spans="2:2" x14ac:dyDescent="0.25">
      <c r="B5467" s="3"/>
    </row>
    <row r="5468" spans="2:2" x14ac:dyDescent="0.25">
      <c r="B5468" s="3"/>
    </row>
    <row r="5469" spans="2:2" x14ac:dyDescent="0.25">
      <c r="B5469" s="3"/>
    </row>
    <row r="5470" spans="2:2" x14ac:dyDescent="0.25">
      <c r="B5470" s="3"/>
    </row>
    <row r="5471" spans="2:2" x14ac:dyDescent="0.25">
      <c r="B5471" s="3"/>
    </row>
    <row r="5472" spans="2:2" x14ac:dyDescent="0.25">
      <c r="B5472" s="3"/>
    </row>
    <row r="5473" spans="2:2" x14ac:dyDescent="0.25">
      <c r="B5473" s="3"/>
    </row>
    <row r="5474" spans="2:2" x14ac:dyDescent="0.25">
      <c r="B5474" s="3"/>
    </row>
    <row r="5475" spans="2:2" x14ac:dyDescent="0.25">
      <c r="B5475" s="3"/>
    </row>
    <row r="5476" spans="2:2" x14ac:dyDescent="0.25">
      <c r="B5476" s="3"/>
    </row>
    <row r="5477" spans="2:2" x14ac:dyDescent="0.25">
      <c r="B5477" s="3"/>
    </row>
    <row r="5478" spans="2:2" x14ac:dyDescent="0.25">
      <c r="B5478" s="3"/>
    </row>
    <row r="5479" spans="2:2" x14ac:dyDescent="0.25">
      <c r="B5479" s="3"/>
    </row>
    <row r="5480" spans="2:2" x14ac:dyDescent="0.25">
      <c r="B5480" s="3"/>
    </row>
    <row r="5481" spans="2:2" x14ac:dyDescent="0.25">
      <c r="B5481" s="3"/>
    </row>
    <row r="5482" spans="2:2" x14ac:dyDescent="0.25">
      <c r="B5482" s="3"/>
    </row>
    <row r="5483" spans="2:2" x14ac:dyDescent="0.25">
      <c r="B5483" s="3"/>
    </row>
    <row r="5484" spans="2:2" x14ac:dyDescent="0.25">
      <c r="B5484" s="3"/>
    </row>
    <row r="5485" spans="2:2" x14ac:dyDescent="0.25">
      <c r="B5485" s="3"/>
    </row>
    <row r="5486" spans="2:2" x14ac:dyDescent="0.25">
      <c r="B5486" s="3"/>
    </row>
    <row r="5487" spans="2:2" x14ac:dyDescent="0.25">
      <c r="B5487" s="3"/>
    </row>
    <row r="5488" spans="2:2" x14ac:dyDescent="0.25">
      <c r="B5488" s="3"/>
    </row>
    <row r="5489" spans="2:2" x14ac:dyDescent="0.25">
      <c r="B5489" s="3"/>
    </row>
    <row r="5490" spans="2:2" x14ac:dyDescent="0.25">
      <c r="B5490" s="3"/>
    </row>
    <row r="5491" spans="2:2" x14ac:dyDescent="0.25">
      <c r="B5491" s="3"/>
    </row>
    <row r="5492" spans="2:2" x14ac:dyDescent="0.25">
      <c r="B5492" s="3"/>
    </row>
    <row r="5493" spans="2:2" x14ac:dyDescent="0.25">
      <c r="B5493" s="3"/>
    </row>
    <row r="5494" spans="2:2" x14ac:dyDescent="0.25">
      <c r="B5494" s="3"/>
    </row>
    <row r="5495" spans="2:2" x14ac:dyDescent="0.25">
      <c r="B5495" s="3"/>
    </row>
    <row r="5496" spans="2:2" x14ac:dyDescent="0.25">
      <c r="B5496" s="3"/>
    </row>
    <row r="5497" spans="2:2" x14ac:dyDescent="0.25">
      <c r="B5497" s="3"/>
    </row>
    <row r="5498" spans="2:2" x14ac:dyDescent="0.25">
      <c r="B5498" s="3"/>
    </row>
    <row r="5499" spans="2:2" x14ac:dyDescent="0.25">
      <c r="B5499" s="3"/>
    </row>
    <row r="5500" spans="2:2" x14ac:dyDescent="0.25">
      <c r="B5500" s="3"/>
    </row>
    <row r="5501" spans="2:2" x14ac:dyDescent="0.25">
      <c r="B5501" s="3"/>
    </row>
    <row r="5502" spans="2:2" x14ac:dyDescent="0.25">
      <c r="B5502" s="3"/>
    </row>
    <row r="5503" spans="2:2" x14ac:dyDescent="0.25">
      <c r="B5503" s="3"/>
    </row>
    <row r="5504" spans="2:2" x14ac:dyDescent="0.25">
      <c r="B5504" s="3"/>
    </row>
    <row r="5505" spans="2:2" x14ac:dyDescent="0.25">
      <c r="B5505" s="3"/>
    </row>
    <row r="5506" spans="2:2" x14ac:dyDescent="0.25">
      <c r="B5506" s="3"/>
    </row>
    <row r="5507" spans="2:2" x14ac:dyDescent="0.25">
      <c r="B5507" s="3"/>
    </row>
    <row r="5508" spans="2:2" x14ac:dyDescent="0.25">
      <c r="B5508" s="3"/>
    </row>
    <row r="5509" spans="2:2" x14ac:dyDescent="0.25">
      <c r="B5509" s="3"/>
    </row>
    <row r="5510" spans="2:2" x14ac:dyDescent="0.25">
      <c r="B5510" s="3"/>
    </row>
    <row r="5511" spans="2:2" x14ac:dyDescent="0.25">
      <c r="B5511" s="3"/>
    </row>
    <row r="5512" spans="2:2" x14ac:dyDescent="0.25">
      <c r="B5512" s="3"/>
    </row>
    <row r="5513" spans="2:2" x14ac:dyDescent="0.25">
      <c r="B5513" s="3"/>
    </row>
    <row r="5514" spans="2:2" x14ac:dyDescent="0.25">
      <c r="B5514" s="3"/>
    </row>
    <row r="5515" spans="2:2" x14ac:dyDescent="0.25">
      <c r="B5515" s="3"/>
    </row>
    <row r="5516" spans="2:2" x14ac:dyDescent="0.25">
      <c r="B5516" s="3"/>
    </row>
    <row r="5517" spans="2:2" x14ac:dyDescent="0.25">
      <c r="B5517" s="3"/>
    </row>
    <row r="5518" spans="2:2" x14ac:dyDescent="0.25">
      <c r="B5518" s="3"/>
    </row>
    <row r="5519" spans="2:2" x14ac:dyDescent="0.25">
      <c r="B5519" s="3"/>
    </row>
    <row r="5520" spans="2:2" x14ac:dyDescent="0.25">
      <c r="B5520" s="3"/>
    </row>
    <row r="5521" spans="2:2" x14ac:dyDescent="0.25">
      <c r="B5521" s="3"/>
    </row>
    <row r="5522" spans="2:2" x14ac:dyDescent="0.25">
      <c r="B5522" s="3"/>
    </row>
    <row r="5523" spans="2:2" x14ac:dyDescent="0.25">
      <c r="B5523" s="3"/>
    </row>
    <row r="5524" spans="2:2" x14ac:dyDescent="0.25">
      <c r="B5524" s="3"/>
    </row>
    <row r="5525" spans="2:2" x14ac:dyDescent="0.25">
      <c r="B5525" s="3"/>
    </row>
    <row r="5526" spans="2:2" x14ac:dyDescent="0.25">
      <c r="B5526" s="3"/>
    </row>
    <row r="5527" spans="2:2" x14ac:dyDescent="0.25">
      <c r="B5527" s="3"/>
    </row>
    <row r="5528" spans="2:2" x14ac:dyDescent="0.25">
      <c r="B5528" s="3"/>
    </row>
    <row r="5529" spans="2:2" x14ac:dyDescent="0.25">
      <c r="B5529" s="3"/>
    </row>
    <row r="5530" spans="2:2" x14ac:dyDescent="0.25">
      <c r="B5530" s="3"/>
    </row>
    <row r="5531" spans="2:2" x14ac:dyDescent="0.25">
      <c r="B5531" s="3"/>
    </row>
    <row r="5532" spans="2:2" x14ac:dyDescent="0.25">
      <c r="B5532" s="3"/>
    </row>
    <row r="5533" spans="2:2" x14ac:dyDescent="0.25">
      <c r="B5533" s="3"/>
    </row>
    <row r="5534" spans="2:2" x14ac:dyDescent="0.25">
      <c r="B5534" s="3"/>
    </row>
    <row r="5535" spans="2:2" x14ac:dyDescent="0.25">
      <c r="B5535" s="3"/>
    </row>
    <row r="5536" spans="2:2" x14ac:dyDescent="0.25">
      <c r="B5536" s="3"/>
    </row>
    <row r="5537" spans="2:2" x14ac:dyDescent="0.25">
      <c r="B5537" s="3"/>
    </row>
    <row r="5538" spans="2:2" x14ac:dyDescent="0.25">
      <c r="B5538" s="3"/>
    </row>
    <row r="5539" spans="2:2" x14ac:dyDescent="0.25">
      <c r="B5539" s="3"/>
    </row>
    <row r="5540" spans="2:2" x14ac:dyDescent="0.25">
      <c r="B5540" s="3"/>
    </row>
    <row r="5541" spans="2:2" x14ac:dyDescent="0.25">
      <c r="B5541" s="3"/>
    </row>
    <row r="5542" spans="2:2" x14ac:dyDescent="0.25">
      <c r="B5542" s="3"/>
    </row>
    <row r="5543" spans="2:2" x14ac:dyDescent="0.25">
      <c r="B5543" s="3"/>
    </row>
    <row r="5544" spans="2:2" x14ac:dyDescent="0.25">
      <c r="B5544" s="3"/>
    </row>
    <row r="5545" spans="2:2" x14ac:dyDescent="0.25">
      <c r="B5545" s="3"/>
    </row>
    <row r="5546" spans="2:2" x14ac:dyDescent="0.25">
      <c r="B5546" s="3"/>
    </row>
    <row r="5547" spans="2:2" x14ac:dyDescent="0.25">
      <c r="B5547" s="3"/>
    </row>
    <row r="5548" spans="2:2" x14ac:dyDescent="0.25">
      <c r="B5548" s="3"/>
    </row>
    <row r="5549" spans="2:2" x14ac:dyDescent="0.25">
      <c r="B5549" s="3"/>
    </row>
    <row r="5550" spans="2:2" x14ac:dyDescent="0.25">
      <c r="B5550" s="3"/>
    </row>
    <row r="5551" spans="2:2" x14ac:dyDescent="0.25">
      <c r="B5551" s="3"/>
    </row>
    <row r="5552" spans="2:2" x14ac:dyDescent="0.25">
      <c r="B5552" s="3"/>
    </row>
    <row r="5553" spans="2:2" x14ac:dyDescent="0.25">
      <c r="B5553" s="3"/>
    </row>
    <row r="5554" spans="2:2" x14ac:dyDescent="0.25">
      <c r="B5554" s="3"/>
    </row>
    <row r="5555" spans="2:2" x14ac:dyDescent="0.25">
      <c r="B5555" s="3"/>
    </row>
    <row r="5556" spans="2:2" x14ac:dyDescent="0.25">
      <c r="B5556" s="3"/>
    </row>
    <row r="5557" spans="2:2" x14ac:dyDescent="0.25">
      <c r="B5557" s="3"/>
    </row>
    <row r="5558" spans="2:2" x14ac:dyDescent="0.25">
      <c r="B5558" s="3"/>
    </row>
    <row r="5559" spans="2:2" x14ac:dyDescent="0.25">
      <c r="B5559" s="3"/>
    </row>
    <row r="5560" spans="2:2" x14ac:dyDescent="0.25">
      <c r="B5560" s="3"/>
    </row>
    <row r="5561" spans="2:2" x14ac:dyDescent="0.25">
      <c r="B5561" s="3"/>
    </row>
    <row r="5562" spans="2:2" x14ac:dyDescent="0.25">
      <c r="B5562" s="3"/>
    </row>
    <row r="5563" spans="2:2" x14ac:dyDescent="0.25">
      <c r="B5563" s="3"/>
    </row>
    <row r="5564" spans="2:2" x14ac:dyDescent="0.25">
      <c r="B5564" s="3"/>
    </row>
    <row r="5565" spans="2:2" x14ac:dyDescent="0.25">
      <c r="B5565" s="3"/>
    </row>
    <row r="5566" spans="2:2" x14ac:dyDescent="0.25">
      <c r="B5566" s="3"/>
    </row>
    <row r="5567" spans="2:2" x14ac:dyDescent="0.25">
      <c r="B5567" s="3"/>
    </row>
    <row r="5568" spans="2:2" x14ac:dyDescent="0.25">
      <c r="B5568" s="3"/>
    </row>
    <row r="5569" spans="2:2" x14ac:dyDescent="0.25">
      <c r="B5569" s="3"/>
    </row>
    <row r="5570" spans="2:2" x14ac:dyDescent="0.25">
      <c r="B5570" s="3"/>
    </row>
    <row r="5571" spans="2:2" x14ac:dyDescent="0.25">
      <c r="B5571" s="3"/>
    </row>
    <row r="5572" spans="2:2" x14ac:dyDescent="0.25">
      <c r="B5572" s="3"/>
    </row>
    <row r="5573" spans="2:2" x14ac:dyDescent="0.25">
      <c r="B5573" s="3"/>
    </row>
    <row r="5574" spans="2:2" x14ac:dyDescent="0.25">
      <c r="B5574" s="3"/>
    </row>
    <row r="5575" spans="2:2" x14ac:dyDescent="0.25">
      <c r="B5575" s="3"/>
    </row>
    <row r="5576" spans="2:2" x14ac:dyDescent="0.25">
      <c r="B5576" s="3"/>
    </row>
    <row r="5577" spans="2:2" x14ac:dyDescent="0.25">
      <c r="B5577" s="3"/>
    </row>
    <row r="5578" spans="2:2" x14ac:dyDescent="0.25">
      <c r="B5578" s="3"/>
    </row>
    <row r="5579" spans="2:2" x14ac:dyDescent="0.25">
      <c r="B5579" s="3"/>
    </row>
    <row r="5580" spans="2:2" x14ac:dyDescent="0.25">
      <c r="B5580" s="3"/>
    </row>
    <row r="5581" spans="2:2" x14ac:dyDescent="0.25">
      <c r="B5581" s="3"/>
    </row>
    <row r="5582" spans="2:2" x14ac:dyDescent="0.25">
      <c r="B5582" s="3"/>
    </row>
    <row r="5583" spans="2:2" x14ac:dyDescent="0.25">
      <c r="B5583" s="3"/>
    </row>
    <row r="5584" spans="2:2" x14ac:dyDescent="0.25">
      <c r="B5584" s="3"/>
    </row>
    <row r="5585" spans="2:2" x14ac:dyDescent="0.25">
      <c r="B5585" s="3"/>
    </row>
    <row r="5586" spans="2:2" x14ac:dyDescent="0.25">
      <c r="B5586" s="3"/>
    </row>
    <row r="5587" spans="2:2" x14ac:dyDescent="0.25">
      <c r="B5587" s="3"/>
    </row>
    <row r="5588" spans="2:2" x14ac:dyDescent="0.25">
      <c r="B5588" s="3"/>
    </row>
    <row r="5589" spans="2:2" x14ac:dyDescent="0.25">
      <c r="B5589" s="3"/>
    </row>
    <row r="5590" spans="2:2" x14ac:dyDescent="0.25">
      <c r="B5590" s="3"/>
    </row>
    <row r="5591" spans="2:2" x14ac:dyDescent="0.25">
      <c r="B5591" s="3"/>
    </row>
    <row r="5592" spans="2:2" x14ac:dyDescent="0.25">
      <c r="B5592" s="3"/>
    </row>
    <row r="5593" spans="2:2" x14ac:dyDescent="0.25">
      <c r="B5593" s="3"/>
    </row>
    <row r="5594" spans="2:2" x14ac:dyDescent="0.25">
      <c r="B5594" s="3"/>
    </row>
    <row r="5595" spans="2:2" x14ac:dyDescent="0.25">
      <c r="B5595" s="3"/>
    </row>
    <row r="5596" spans="2:2" x14ac:dyDescent="0.25">
      <c r="B5596" s="3"/>
    </row>
    <row r="5597" spans="2:2" x14ac:dyDescent="0.25">
      <c r="B5597" s="3"/>
    </row>
    <row r="5598" spans="2:2" x14ac:dyDescent="0.25">
      <c r="B5598" s="3"/>
    </row>
    <row r="5599" spans="2:2" x14ac:dyDescent="0.25">
      <c r="B5599" s="3"/>
    </row>
    <row r="5600" spans="2:2" x14ac:dyDescent="0.25">
      <c r="B5600" s="3"/>
    </row>
    <row r="5601" spans="2:2" x14ac:dyDescent="0.25">
      <c r="B5601" s="3"/>
    </row>
    <row r="5602" spans="2:2" x14ac:dyDescent="0.25">
      <c r="B5602" s="3"/>
    </row>
    <row r="5603" spans="2:2" x14ac:dyDescent="0.25">
      <c r="B5603" s="3"/>
    </row>
    <row r="5604" spans="2:2" x14ac:dyDescent="0.25">
      <c r="B5604" s="3"/>
    </row>
    <row r="5605" spans="2:2" x14ac:dyDescent="0.25">
      <c r="B5605" s="3"/>
    </row>
    <row r="5606" spans="2:2" x14ac:dyDescent="0.25">
      <c r="B5606" s="3"/>
    </row>
    <row r="5607" spans="2:2" x14ac:dyDescent="0.25">
      <c r="B5607" s="3"/>
    </row>
    <row r="5608" spans="2:2" x14ac:dyDescent="0.25">
      <c r="B5608" s="3"/>
    </row>
    <row r="5609" spans="2:2" x14ac:dyDescent="0.25">
      <c r="B5609" s="3"/>
    </row>
    <row r="5610" spans="2:2" x14ac:dyDescent="0.25">
      <c r="B5610" s="3"/>
    </row>
    <row r="5611" spans="2:2" x14ac:dyDescent="0.25">
      <c r="B5611" s="3"/>
    </row>
    <row r="5612" spans="2:2" x14ac:dyDescent="0.25">
      <c r="B5612" s="3"/>
    </row>
    <row r="5613" spans="2:2" x14ac:dyDescent="0.25">
      <c r="B5613" s="3"/>
    </row>
    <row r="5614" spans="2:2" x14ac:dyDescent="0.25">
      <c r="B5614" s="3"/>
    </row>
    <row r="5615" spans="2:2" x14ac:dyDescent="0.25">
      <c r="B5615" s="3"/>
    </row>
    <row r="5616" spans="2:2" x14ac:dyDescent="0.25">
      <c r="B5616" s="3"/>
    </row>
    <row r="5617" spans="2:2" x14ac:dyDescent="0.25">
      <c r="B5617" s="3"/>
    </row>
    <row r="5618" spans="2:2" x14ac:dyDescent="0.25">
      <c r="B5618" s="3"/>
    </row>
    <row r="5619" spans="2:2" x14ac:dyDescent="0.25">
      <c r="B5619" s="3"/>
    </row>
    <row r="5620" spans="2:2" x14ac:dyDescent="0.25">
      <c r="B5620" s="3"/>
    </row>
    <row r="5621" spans="2:2" x14ac:dyDescent="0.25">
      <c r="B5621" s="3"/>
    </row>
    <row r="5622" spans="2:2" x14ac:dyDescent="0.25">
      <c r="B5622" s="3"/>
    </row>
    <row r="5623" spans="2:2" x14ac:dyDescent="0.25">
      <c r="B5623" s="3"/>
    </row>
    <row r="5624" spans="2:2" x14ac:dyDescent="0.25">
      <c r="B5624" s="3"/>
    </row>
    <row r="5625" spans="2:2" x14ac:dyDescent="0.25">
      <c r="B5625" s="3"/>
    </row>
    <row r="5626" spans="2:2" x14ac:dyDescent="0.25">
      <c r="B5626" s="3"/>
    </row>
    <row r="5627" spans="2:2" x14ac:dyDescent="0.25">
      <c r="B5627" s="3"/>
    </row>
    <row r="5628" spans="2:2" x14ac:dyDescent="0.25">
      <c r="B5628" s="3"/>
    </row>
    <row r="5629" spans="2:2" x14ac:dyDescent="0.25">
      <c r="B5629" s="3"/>
    </row>
    <row r="5630" spans="2:2" x14ac:dyDescent="0.25">
      <c r="B5630" s="3"/>
    </row>
    <row r="5631" spans="2:2" x14ac:dyDescent="0.25">
      <c r="B5631" s="3"/>
    </row>
    <row r="5632" spans="2:2" x14ac:dyDescent="0.25">
      <c r="B5632" s="3"/>
    </row>
    <row r="5633" spans="2:2" x14ac:dyDescent="0.25">
      <c r="B5633" s="3"/>
    </row>
    <row r="5634" spans="2:2" x14ac:dyDescent="0.25">
      <c r="B5634" s="3"/>
    </row>
    <row r="5635" spans="2:2" x14ac:dyDescent="0.25">
      <c r="B5635" s="3"/>
    </row>
    <row r="5636" spans="2:2" x14ac:dyDescent="0.25">
      <c r="B5636" s="3"/>
    </row>
    <row r="5637" spans="2:2" x14ac:dyDescent="0.25">
      <c r="B5637" s="3"/>
    </row>
    <row r="5638" spans="2:2" x14ac:dyDescent="0.25">
      <c r="B5638" s="3"/>
    </row>
    <row r="5639" spans="2:2" x14ac:dyDescent="0.25">
      <c r="B5639" s="3"/>
    </row>
    <row r="5640" spans="2:2" x14ac:dyDescent="0.25">
      <c r="B5640" s="3"/>
    </row>
    <row r="5641" spans="2:2" x14ac:dyDescent="0.25">
      <c r="B5641" s="3"/>
    </row>
    <row r="5642" spans="2:2" x14ac:dyDescent="0.25">
      <c r="B5642" s="3"/>
    </row>
    <row r="5643" spans="2:2" x14ac:dyDescent="0.25">
      <c r="B5643" s="3"/>
    </row>
    <row r="5644" spans="2:2" x14ac:dyDescent="0.25">
      <c r="B5644" s="3"/>
    </row>
    <row r="5645" spans="2:2" x14ac:dyDescent="0.25">
      <c r="B5645" s="3"/>
    </row>
    <row r="5646" spans="2:2" x14ac:dyDescent="0.25">
      <c r="B5646" s="3"/>
    </row>
    <row r="5647" spans="2:2" x14ac:dyDescent="0.25">
      <c r="B5647" s="3"/>
    </row>
    <row r="5648" spans="2:2" x14ac:dyDescent="0.25">
      <c r="B5648" s="3"/>
    </row>
    <row r="5649" spans="2:2" x14ac:dyDescent="0.25">
      <c r="B5649" s="3"/>
    </row>
    <row r="5650" spans="2:2" x14ac:dyDescent="0.25">
      <c r="B5650" s="3"/>
    </row>
    <row r="5651" spans="2:2" x14ac:dyDescent="0.25">
      <c r="B5651" s="3"/>
    </row>
    <row r="5652" spans="2:2" x14ac:dyDescent="0.25">
      <c r="B5652" s="3"/>
    </row>
    <row r="5653" spans="2:2" x14ac:dyDescent="0.25">
      <c r="B5653" s="3"/>
    </row>
    <row r="5654" spans="2:2" x14ac:dyDescent="0.25">
      <c r="B5654" s="3"/>
    </row>
    <row r="5655" spans="2:2" x14ac:dyDescent="0.25">
      <c r="B5655" s="3"/>
    </row>
    <row r="5656" spans="2:2" x14ac:dyDescent="0.25">
      <c r="B5656" s="3"/>
    </row>
    <row r="5657" spans="2:2" x14ac:dyDescent="0.25">
      <c r="B5657" s="3"/>
    </row>
    <row r="5658" spans="2:2" x14ac:dyDescent="0.25">
      <c r="B5658" s="3"/>
    </row>
    <row r="5659" spans="2:2" x14ac:dyDescent="0.25">
      <c r="B5659" s="3"/>
    </row>
    <row r="5660" spans="2:2" x14ac:dyDescent="0.25">
      <c r="B5660" s="3"/>
    </row>
    <row r="5661" spans="2:2" x14ac:dyDescent="0.25">
      <c r="B5661" s="3"/>
    </row>
    <row r="5662" spans="2:2" x14ac:dyDescent="0.25">
      <c r="B5662" s="3"/>
    </row>
    <row r="5663" spans="2:2" x14ac:dyDescent="0.25">
      <c r="B5663" s="3"/>
    </row>
    <row r="5664" spans="2:2" x14ac:dyDescent="0.25">
      <c r="B5664" s="3"/>
    </row>
    <row r="5665" spans="2:2" x14ac:dyDescent="0.25">
      <c r="B5665" s="3"/>
    </row>
    <row r="5666" spans="2:2" x14ac:dyDescent="0.25">
      <c r="B5666" s="3"/>
    </row>
    <row r="5667" spans="2:2" x14ac:dyDescent="0.25">
      <c r="B5667" s="3"/>
    </row>
    <row r="5668" spans="2:2" x14ac:dyDescent="0.25">
      <c r="B5668" s="3"/>
    </row>
    <row r="5669" spans="2:2" x14ac:dyDescent="0.25">
      <c r="B5669" s="3"/>
    </row>
    <row r="5670" spans="2:2" x14ac:dyDescent="0.25">
      <c r="B5670" s="3"/>
    </row>
    <row r="5671" spans="2:2" x14ac:dyDescent="0.25">
      <c r="B5671" s="3"/>
    </row>
    <row r="5672" spans="2:2" x14ac:dyDescent="0.25">
      <c r="B5672" s="3"/>
    </row>
    <row r="5673" spans="2:2" x14ac:dyDescent="0.25">
      <c r="B5673" s="3"/>
    </row>
    <row r="5674" spans="2:2" x14ac:dyDescent="0.25">
      <c r="B5674" s="3"/>
    </row>
    <row r="5675" spans="2:2" x14ac:dyDescent="0.25">
      <c r="B5675" s="3"/>
    </row>
    <row r="5676" spans="2:2" x14ac:dyDescent="0.25">
      <c r="B5676" s="3"/>
    </row>
    <row r="5677" spans="2:2" x14ac:dyDescent="0.25">
      <c r="B5677" s="3"/>
    </row>
    <row r="5678" spans="2:2" x14ac:dyDescent="0.25">
      <c r="B5678" s="3"/>
    </row>
    <row r="5679" spans="2:2" x14ac:dyDescent="0.25">
      <c r="B5679" s="3"/>
    </row>
    <row r="5680" spans="2:2" x14ac:dyDescent="0.25">
      <c r="B5680" s="3"/>
    </row>
    <row r="5681" spans="2:2" x14ac:dyDescent="0.25">
      <c r="B5681" s="3"/>
    </row>
    <row r="5682" spans="2:2" x14ac:dyDescent="0.25">
      <c r="B5682" s="3"/>
    </row>
    <row r="5683" spans="2:2" x14ac:dyDescent="0.25">
      <c r="B5683" s="3"/>
    </row>
    <row r="5684" spans="2:2" x14ac:dyDescent="0.25">
      <c r="B5684" s="3"/>
    </row>
    <row r="5685" spans="2:2" x14ac:dyDescent="0.25">
      <c r="B5685" s="3"/>
    </row>
    <row r="5686" spans="2:2" x14ac:dyDescent="0.25">
      <c r="B5686" s="3"/>
    </row>
    <row r="5687" spans="2:2" x14ac:dyDescent="0.25">
      <c r="B5687" s="3"/>
    </row>
    <row r="5688" spans="2:2" x14ac:dyDescent="0.25">
      <c r="B5688" s="3"/>
    </row>
    <row r="5689" spans="2:2" x14ac:dyDescent="0.25">
      <c r="B5689" s="3"/>
    </row>
    <row r="5690" spans="2:2" x14ac:dyDescent="0.25">
      <c r="B5690" s="3"/>
    </row>
    <row r="5691" spans="2:2" x14ac:dyDescent="0.25">
      <c r="B5691" s="3"/>
    </row>
    <row r="5692" spans="2:2" x14ac:dyDescent="0.25">
      <c r="B5692" s="3"/>
    </row>
    <row r="5693" spans="2:2" x14ac:dyDescent="0.25">
      <c r="B5693" s="3"/>
    </row>
    <row r="5694" spans="2:2" x14ac:dyDescent="0.25">
      <c r="B5694" s="3"/>
    </row>
    <row r="5695" spans="2:2" x14ac:dyDescent="0.25">
      <c r="B5695" s="3"/>
    </row>
    <row r="5696" spans="2:2" x14ac:dyDescent="0.25">
      <c r="B5696" s="3"/>
    </row>
    <row r="5697" spans="2:2" x14ac:dyDescent="0.25">
      <c r="B5697" s="3"/>
    </row>
    <row r="5698" spans="2:2" x14ac:dyDescent="0.25">
      <c r="B5698" s="3"/>
    </row>
    <row r="5699" spans="2:2" x14ac:dyDescent="0.25">
      <c r="B5699" s="3"/>
    </row>
    <row r="5700" spans="2:2" x14ac:dyDescent="0.25">
      <c r="B5700" s="3"/>
    </row>
    <row r="5701" spans="2:2" x14ac:dyDescent="0.25">
      <c r="B5701" s="3"/>
    </row>
    <row r="5702" spans="2:2" x14ac:dyDescent="0.25">
      <c r="B5702" s="3"/>
    </row>
    <row r="5703" spans="2:2" x14ac:dyDescent="0.25">
      <c r="B5703" s="3"/>
    </row>
    <row r="5704" spans="2:2" x14ac:dyDescent="0.25">
      <c r="B5704" s="3"/>
    </row>
    <row r="5705" spans="2:2" x14ac:dyDescent="0.25">
      <c r="B5705" s="3"/>
    </row>
    <row r="5706" spans="2:2" x14ac:dyDescent="0.25">
      <c r="B5706" s="3"/>
    </row>
    <row r="5707" spans="2:2" x14ac:dyDescent="0.25">
      <c r="B5707" s="3"/>
    </row>
    <row r="5708" spans="2:2" x14ac:dyDescent="0.25">
      <c r="B5708" s="3"/>
    </row>
    <row r="5709" spans="2:2" x14ac:dyDescent="0.25">
      <c r="B5709" s="3"/>
    </row>
    <row r="5710" spans="2:2" x14ac:dyDescent="0.25">
      <c r="B5710" s="3"/>
    </row>
    <row r="5711" spans="2:2" x14ac:dyDescent="0.25">
      <c r="B5711" s="3"/>
    </row>
    <row r="5712" spans="2:2" x14ac:dyDescent="0.25">
      <c r="B5712" s="3"/>
    </row>
    <row r="5713" spans="2:2" x14ac:dyDescent="0.25">
      <c r="B5713" s="3"/>
    </row>
    <row r="5714" spans="2:2" x14ac:dyDescent="0.25">
      <c r="B5714" s="3"/>
    </row>
    <row r="5715" spans="2:2" x14ac:dyDescent="0.25">
      <c r="B5715" s="3"/>
    </row>
    <row r="5716" spans="2:2" x14ac:dyDescent="0.25">
      <c r="B5716" s="3"/>
    </row>
    <row r="5717" spans="2:2" x14ac:dyDescent="0.25">
      <c r="B5717" s="3"/>
    </row>
    <row r="5718" spans="2:2" x14ac:dyDescent="0.25">
      <c r="B5718" s="3"/>
    </row>
    <row r="5719" spans="2:2" x14ac:dyDescent="0.25">
      <c r="B5719" s="3"/>
    </row>
    <row r="5720" spans="2:2" x14ac:dyDescent="0.25">
      <c r="B5720" s="3"/>
    </row>
    <row r="5721" spans="2:2" x14ac:dyDescent="0.25">
      <c r="B5721" s="3"/>
    </row>
    <row r="5722" spans="2:2" x14ac:dyDescent="0.25">
      <c r="B5722" s="3"/>
    </row>
    <row r="5723" spans="2:2" x14ac:dyDescent="0.25">
      <c r="B5723" s="3"/>
    </row>
    <row r="5724" spans="2:2" x14ac:dyDescent="0.25">
      <c r="B5724" s="3"/>
    </row>
    <row r="5725" spans="2:2" x14ac:dyDescent="0.25">
      <c r="B5725" s="3"/>
    </row>
    <row r="5726" spans="2:2" x14ac:dyDescent="0.25">
      <c r="B5726" s="3"/>
    </row>
    <row r="5727" spans="2:2" x14ac:dyDescent="0.25">
      <c r="B5727" s="3"/>
    </row>
    <row r="5728" spans="2:2" x14ac:dyDescent="0.25">
      <c r="B5728" s="3"/>
    </row>
    <row r="5729" spans="2:2" x14ac:dyDescent="0.25">
      <c r="B5729" s="3"/>
    </row>
    <row r="5730" spans="2:2" x14ac:dyDescent="0.25">
      <c r="B5730" s="3"/>
    </row>
    <row r="5731" spans="2:2" x14ac:dyDescent="0.25">
      <c r="B5731" s="3"/>
    </row>
    <row r="5732" spans="2:2" x14ac:dyDescent="0.25">
      <c r="B5732" s="3"/>
    </row>
    <row r="5733" spans="2:2" x14ac:dyDescent="0.25">
      <c r="B5733" s="3"/>
    </row>
    <row r="5734" spans="2:2" x14ac:dyDescent="0.25">
      <c r="B5734" s="3"/>
    </row>
    <row r="5735" spans="2:2" x14ac:dyDescent="0.25">
      <c r="B5735" s="3"/>
    </row>
    <row r="5736" spans="2:2" x14ac:dyDescent="0.25">
      <c r="B5736" s="3"/>
    </row>
    <row r="5737" spans="2:2" x14ac:dyDescent="0.25">
      <c r="B5737" s="3"/>
    </row>
    <row r="5738" spans="2:2" x14ac:dyDescent="0.25">
      <c r="B5738" s="3"/>
    </row>
    <row r="5739" spans="2:2" x14ac:dyDescent="0.25">
      <c r="B5739" s="3"/>
    </row>
    <row r="5740" spans="2:2" x14ac:dyDescent="0.25">
      <c r="B5740" s="3"/>
    </row>
    <row r="5741" spans="2:2" x14ac:dyDescent="0.25">
      <c r="B5741" s="3"/>
    </row>
    <row r="5742" spans="2:2" x14ac:dyDescent="0.25">
      <c r="B5742" s="3"/>
    </row>
    <row r="5743" spans="2:2" x14ac:dyDescent="0.25">
      <c r="B5743" s="3"/>
    </row>
    <row r="5744" spans="2:2" x14ac:dyDescent="0.25">
      <c r="B5744" s="3"/>
    </row>
    <row r="5745" spans="2:2" x14ac:dyDescent="0.25">
      <c r="B5745" s="3"/>
    </row>
    <row r="5746" spans="2:2" x14ac:dyDescent="0.25">
      <c r="B5746" s="3"/>
    </row>
    <row r="5747" spans="2:2" x14ac:dyDescent="0.25">
      <c r="B5747" s="3"/>
    </row>
    <row r="5748" spans="2:2" x14ac:dyDescent="0.25">
      <c r="B5748" s="3"/>
    </row>
    <row r="5749" spans="2:2" x14ac:dyDescent="0.25">
      <c r="B5749" s="3"/>
    </row>
    <row r="5750" spans="2:2" x14ac:dyDescent="0.25">
      <c r="B5750" s="3"/>
    </row>
    <row r="5751" spans="2:2" x14ac:dyDescent="0.25">
      <c r="B5751" s="3"/>
    </row>
    <row r="5752" spans="2:2" x14ac:dyDescent="0.25">
      <c r="B5752" s="3"/>
    </row>
    <row r="5753" spans="2:2" x14ac:dyDescent="0.25">
      <c r="B5753" s="3"/>
    </row>
    <row r="5754" spans="2:2" x14ac:dyDescent="0.25">
      <c r="B5754" s="3"/>
    </row>
    <row r="5755" spans="2:2" x14ac:dyDescent="0.25">
      <c r="B5755" s="3"/>
    </row>
    <row r="5756" spans="2:2" x14ac:dyDescent="0.25">
      <c r="B5756" s="3"/>
    </row>
    <row r="5757" spans="2:2" x14ac:dyDescent="0.25">
      <c r="B5757" s="3"/>
    </row>
    <row r="5758" spans="2:2" x14ac:dyDescent="0.25">
      <c r="B5758" s="3"/>
    </row>
    <row r="5759" spans="2:2" x14ac:dyDescent="0.25">
      <c r="B5759" s="3"/>
    </row>
    <row r="5760" spans="2:2" x14ac:dyDescent="0.25">
      <c r="B5760" s="3"/>
    </row>
    <row r="5761" spans="2:2" x14ac:dyDescent="0.25">
      <c r="B5761" s="3"/>
    </row>
    <row r="5762" spans="2:2" x14ac:dyDescent="0.25">
      <c r="B5762" s="3"/>
    </row>
    <row r="5763" spans="2:2" x14ac:dyDescent="0.25">
      <c r="B5763" s="3"/>
    </row>
    <row r="5764" spans="2:2" x14ac:dyDescent="0.25">
      <c r="B5764" s="3"/>
    </row>
    <row r="5765" spans="2:2" x14ac:dyDescent="0.25">
      <c r="B5765" s="3"/>
    </row>
    <row r="5766" spans="2:2" x14ac:dyDescent="0.25">
      <c r="B5766" s="3"/>
    </row>
    <row r="5767" spans="2:2" x14ac:dyDescent="0.25">
      <c r="B5767" s="3"/>
    </row>
    <row r="5768" spans="2:2" x14ac:dyDescent="0.25">
      <c r="B5768" s="3"/>
    </row>
    <row r="5769" spans="2:2" x14ac:dyDescent="0.25">
      <c r="B5769" s="3"/>
    </row>
    <row r="5770" spans="2:2" x14ac:dyDescent="0.25">
      <c r="B5770" s="3"/>
    </row>
    <row r="5771" spans="2:2" x14ac:dyDescent="0.25">
      <c r="B5771" s="3"/>
    </row>
    <row r="5772" spans="2:2" x14ac:dyDescent="0.25">
      <c r="B5772" s="3"/>
    </row>
    <row r="5773" spans="2:2" x14ac:dyDescent="0.25">
      <c r="B5773" s="3"/>
    </row>
    <row r="5774" spans="2:2" x14ac:dyDescent="0.25">
      <c r="B5774" s="3"/>
    </row>
    <row r="5775" spans="2:2" x14ac:dyDescent="0.25">
      <c r="B5775" s="3"/>
    </row>
    <row r="5776" spans="2:2" x14ac:dyDescent="0.25">
      <c r="B5776" s="3"/>
    </row>
    <row r="5777" spans="2:2" x14ac:dyDescent="0.25">
      <c r="B5777" s="3"/>
    </row>
    <row r="5778" spans="2:2" x14ac:dyDescent="0.25">
      <c r="B5778" s="3"/>
    </row>
    <row r="5779" spans="2:2" x14ac:dyDescent="0.25">
      <c r="B5779" s="3"/>
    </row>
    <row r="5780" spans="2:2" x14ac:dyDescent="0.25">
      <c r="B5780" s="3"/>
    </row>
    <row r="5781" spans="2:2" x14ac:dyDescent="0.25">
      <c r="B5781" s="3"/>
    </row>
    <row r="5782" spans="2:2" x14ac:dyDescent="0.25">
      <c r="B5782" s="3"/>
    </row>
    <row r="5783" spans="2:2" x14ac:dyDescent="0.25">
      <c r="B5783" s="3"/>
    </row>
    <row r="5784" spans="2:2" x14ac:dyDescent="0.25">
      <c r="B5784" s="3"/>
    </row>
    <row r="5785" spans="2:2" x14ac:dyDescent="0.25">
      <c r="B5785" s="3"/>
    </row>
    <row r="5786" spans="2:2" x14ac:dyDescent="0.25">
      <c r="B5786" s="3"/>
    </row>
    <row r="5787" spans="2:2" x14ac:dyDescent="0.25">
      <c r="B5787" s="3"/>
    </row>
    <row r="5788" spans="2:2" x14ac:dyDescent="0.25">
      <c r="B5788" s="3"/>
    </row>
    <row r="5789" spans="2:2" x14ac:dyDescent="0.25">
      <c r="B5789" s="3"/>
    </row>
    <row r="5790" spans="2:2" x14ac:dyDescent="0.25">
      <c r="B5790" s="3"/>
    </row>
    <row r="5791" spans="2:2" x14ac:dyDescent="0.25">
      <c r="B5791" s="3"/>
    </row>
    <row r="5792" spans="2:2" x14ac:dyDescent="0.25">
      <c r="B5792" s="3"/>
    </row>
    <row r="5793" spans="2:2" x14ac:dyDescent="0.25">
      <c r="B5793" s="3"/>
    </row>
    <row r="5794" spans="2:2" x14ac:dyDescent="0.25">
      <c r="B5794" s="3"/>
    </row>
    <row r="5795" spans="2:2" x14ac:dyDescent="0.25">
      <c r="B5795" s="3"/>
    </row>
    <row r="5796" spans="2:2" x14ac:dyDescent="0.25">
      <c r="B5796" s="3"/>
    </row>
    <row r="5797" spans="2:2" x14ac:dyDescent="0.25">
      <c r="B5797" s="3"/>
    </row>
    <row r="5798" spans="2:2" x14ac:dyDescent="0.25">
      <c r="B5798" s="3"/>
    </row>
    <row r="5799" spans="2:2" x14ac:dyDescent="0.25">
      <c r="B5799" s="3"/>
    </row>
    <row r="5800" spans="2:2" x14ac:dyDescent="0.25">
      <c r="B5800" s="3"/>
    </row>
    <row r="5801" spans="2:2" x14ac:dyDescent="0.25">
      <c r="B5801" s="3"/>
    </row>
    <row r="5802" spans="2:2" x14ac:dyDescent="0.25">
      <c r="B5802" s="3"/>
    </row>
    <row r="5803" spans="2:2" x14ac:dyDescent="0.25">
      <c r="B5803" s="3"/>
    </row>
    <row r="5804" spans="2:2" x14ac:dyDescent="0.25">
      <c r="B5804" s="3"/>
    </row>
    <row r="5805" spans="2:2" x14ac:dyDescent="0.25">
      <c r="B5805" s="3"/>
    </row>
    <row r="5806" spans="2:2" x14ac:dyDescent="0.25">
      <c r="B5806" s="3"/>
    </row>
    <row r="5807" spans="2:2" x14ac:dyDescent="0.25">
      <c r="B5807" s="3"/>
    </row>
    <row r="5808" spans="2:2" x14ac:dyDescent="0.25">
      <c r="B5808" s="3"/>
    </row>
    <row r="5809" spans="2:2" x14ac:dyDescent="0.25">
      <c r="B5809" s="3"/>
    </row>
    <row r="5810" spans="2:2" x14ac:dyDescent="0.25">
      <c r="B5810" s="3"/>
    </row>
    <row r="5811" spans="2:2" x14ac:dyDescent="0.25">
      <c r="B5811" s="3"/>
    </row>
    <row r="5812" spans="2:2" x14ac:dyDescent="0.25">
      <c r="B5812" s="3"/>
    </row>
    <row r="5813" spans="2:2" x14ac:dyDescent="0.25">
      <c r="B5813" s="3"/>
    </row>
    <row r="5814" spans="2:2" x14ac:dyDescent="0.25">
      <c r="B5814" s="3"/>
    </row>
    <row r="5815" spans="2:2" x14ac:dyDescent="0.25">
      <c r="B5815" s="3"/>
    </row>
    <row r="5816" spans="2:2" x14ac:dyDescent="0.25">
      <c r="B5816" s="3"/>
    </row>
    <row r="5817" spans="2:2" x14ac:dyDescent="0.25">
      <c r="B5817" s="3"/>
    </row>
    <row r="5818" spans="2:2" x14ac:dyDescent="0.25">
      <c r="B5818" s="3"/>
    </row>
    <row r="5819" spans="2:2" x14ac:dyDescent="0.25">
      <c r="B5819" s="3"/>
    </row>
    <row r="5820" spans="2:2" x14ac:dyDescent="0.25">
      <c r="B5820" s="3"/>
    </row>
    <row r="5821" spans="2:2" x14ac:dyDescent="0.25">
      <c r="B5821" s="3"/>
    </row>
    <row r="5822" spans="2:2" x14ac:dyDescent="0.25">
      <c r="B5822" s="3"/>
    </row>
    <row r="5823" spans="2:2" x14ac:dyDescent="0.25">
      <c r="B5823" s="3"/>
    </row>
    <row r="5824" spans="2:2" x14ac:dyDescent="0.25">
      <c r="B5824" s="3"/>
    </row>
    <row r="5825" spans="2:2" x14ac:dyDescent="0.25">
      <c r="B5825" s="3"/>
    </row>
    <row r="5826" spans="2:2" x14ac:dyDescent="0.25">
      <c r="B5826" s="3"/>
    </row>
    <row r="5827" spans="2:2" x14ac:dyDescent="0.25">
      <c r="B5827" s="3"/>
    </row>
    <row r="5828" spans="2:2" x14ac:dyDescent="0.25">
      <c r="B5828" s="3"/>
    </row>
    <row r="5829" spans="2:2" x14ac:dyDescent="0.25">
      <c r="B5829" s="3"/>
    </row>
    <row r="5830" spans="2:2" x14ac:dyDescent="0.25">
      <c r="B5830" s="3"/>
    </row>
    <row r="5831" spans="2:2" x14ac:dyDescent="0.25">
      <c r="B5831" s="3"/>
    </row>
    <row r="5832" spans="2:2" x14ac:dyDescent="0.25">
      <c r="B5832" s="3"/>
    </row>
    <row r="5833" spans="2:2" x14ac:dyDescent="0.25">
      <c r="B5833" s="3"/>
    </row>
    <row r="5834" spans="2:2" x14ac:dyDescent="0.25">
      <c r="B5834" s="3"/>
    </row>
    <row r="5835" spans="2:2" x14ac:dyDescent="0.25">
      <c r="B5835" s="3"/>
    </row>
    <row r="5836" spans="2:2" x14ac:dyDescent="0.25">
      <c r="B5836" s="3"/>
    </row>
    <row r="5837" spans="2:2" x14ac:dyDescent="0.25">
      <c r="B5837" s="3"/>
    </row>
    <row r="5838" spans="2:2" x14ac:dyDescent="0.25">
      <c r="B5838" s="3"/>
    </row>
    <row r="5839" spans="2:2" x14ac:dyDescent="0.25">
      <c r="B5839" s="3"/>
    </row>
    <row r="5840" spans="2:2" x14ac:dyDescent="0.25">
      <c r="B5840" s="3"/>
    </row>
    <row r="5841" spans="2:2" x14ac:dyDescent="0.25">
      <c r="B5841" s="3"/>
    </row>
    <row r="5842" spans="2:2" x14ac:dyDescent="0.25">
      <c r="B5842" s="3"/>
    </row>
    <row r="5843" spans="2:2" x14ac:dyDescent="0.25">
      <c r="B5843" s="3"/>
    </row>
    <row r="5844" spans="2:2" x14ac:dyDescent="0.25">
      <c r="B5844" s="3"/>
    </row>
    <row r="5845" spans="2:2" x14ac:dyDescent="0.25">
      <c r="B5845" s="3"/>
    </row>
    <row r="5846" spans="2:2" x14ac:dyDescent="0.25">
      <c r="B5846" s="3"/>
    </row>
    <row r="5847" spans="2:2" x14ac:dyDescent="0.25">
      <c r="B5847" s="3"/>
    </row>
    <row r="5848" spans="2:2" x14ac:dyDescent="0.25">
      <c r="B5848" s="3"/>
    </row>
    <row r="5849" spans="2:2" x14ac:dyDescent="0.25">
      <c r="B5849" s="3"/>
    </row>
    <row r="5850" spans="2:2" x14ac:dyDescent="0.25">
      <c r="B5850" s="3"/>
    </row>
    <row r="5851" spans="2:2" x14ac:dyDescent="0.25">
      <c r="B5851" s="3"/>
    </row>
    <row r="5852" spans="2:2" x14ac:dyDescent="0.25">
      <c r="B5852" s="3"/>
    </row>
    <row r="5853" spans="2:2" x14ac:dyDescent="0.25">
      <c r="B5853" s="3"/>
    </row>
    <row r="5854" spans="2:2" x14ac:dyDescent="0.25">
      <c r="B5854" s="3"/>
    </row>
    <row r="5855" spans="2:2" x14ac:dyDescent="0.25">
      <c r="B5855" s="3"/>
    </row>
    <row r="5856" spans="2:2" x14ac:dyDescent="0.25">
      <c r="B5856" s="3"/>
    </row>
    <row r="5857" spans="2:2" x14ac:dyDescent="0.25">
      <c r="B5857" s="3"/>
    </row>
    <row r="5858" spans="2:2" x14ac:dyDescent="0.25">
      <c r="B5858" s="3"/>
    </row>
    <row r="5859" spans="2:2" x14ac:dyDescent="0.25">
      <c r="B5859" s="3"/>
    </row>
    <row r="5860" spans="2:2" x14ac:dyDescent="0.25">
      <c r="B5860" s="3"/>
    </row>
    <row r="5861" spans="2:2" x14ac:dyDescent="0.25">
      <c r="B5861" s="3"/>
    </row>
    <row r="5862" spans="2:2" x14ac:dyDescent="0.25">
      <c r="B5862" s="3"/>
    </row>
    <row r="5863" spans="2:2" x14ac:dyDescent="0.25">
      <c r="B5863" s="3"/>
    </row>
    <row r="5864" spans="2:2" x14ac:dyDescent="0.25">
      <c r="B5864" s="3"/>
    </row>
    <row r="5865" spans="2:2" x14ac:dyDescent="0.25">
      <c r="B5865" s="3"/>
    </row>
    <row r="5866" spans="2:2" x14ac:dyDescent="0.25">
      <c r="B5866" s="3"/>
    </row>
    <row r="5867" spans="2:2" x14ac:dyDescent="0.25">
      <c r="B5867" s="3"/>
    </row>
    <row r="5868" spans="2:2" x14ac:dyDescent="0.25">
      <c r="B5868" s="3"/>
    </row>
    <row r="5869" spans="2:2" x14ac:dyDescent="0.25">
      <c r="B5869" s="3"/>
    </row>
    <row r="5870" spans="2:2" x14ac:dyDescent="0.25">
      <c r="B5870" s="3"/>
    </row>
    <row r="5871" spans="2:2" x14ac:dyDescent="0.25">
      <c r="B5871" s="3"/>
    </row>
    <row r="5872" spans="2:2" x14ac:dyDescent="0.25">
      <c r="B5872" s="3"/>
    </row>
    <row r="5873" spans="2:2" x14ac:dyDescent="0.25">
      <c r="B5873" s="3"/>
    </row>
    <row r="5874" spans="2:2" x14ac:dyDescent="0.25">
      <c r="B5874" s="3"/>
    </row>
    <row r="5875" spans="2:2" x14ac:dyDescent="0.25">
      <c r="B5875" s="3"/>
    </row>
    <row r="5876" spans="2:2" x14ac:dyDescent="0.25">
      <c r="B5876" s="3"/>
    </row>
    <row r="5877" spans="2:2" x14ac:dyDescent="0.25">
      <c r="B5877" s="3"/>
    </row>
    <row r="5878" spans="2:2" x14ac:dyDescent="0.25">
      <c r="B5878" s="3"/>
    </row>
    <row r="5879" spans="2:2" x14ac:dyDescent="0.25">
      <c r="B5879" s="3"/>
    </row>
    <row r="5880" spans="2:2" x14ac:dyDescent="0.25">
      <c r="B5880" s="3"/>
    </row>
    <row r="5881" spans="2:2" x14ac:dyDescent="0.25">
      <c r="B5881" s="3"/>
    </row>
    <row r="5882" spans="2:2" x14ac:dyDescent="0.25">
      <c r="B5882" s="3"/>
    </row>
    <row r="5883" spans="2:2" x14ac:dyDescent="0.25">
      <c r="B5883" s="3"/>
    </row>
    <row r="5884" spans="2:2" x14ac:dyDescent="0.25">
      <c r="B5884" s="3"/>
    </row>
    <row r="5885" spans="2:2" x14ac:dyDescent="0.25">
      <c r="B5885" s="3"/>
    </row>
    <row r="5886" spans="2:2" x14ac:dyDescent="0.25">
      <c r="B5886" s="3"/>
    </row>
    <row r="5887" spans="2:2" x14ac:dyDescent="0.25">
      <c r="B5887" s="3"/>
    </row>
    <row r="5888" spans="2:2" x14ac:dyDescent="0.25">
      <c r="B5888" s="3"/>
    </row>
    <row r="5889" spans="2:2" x14ac:dyDescent="0.25">
      <c r="B5889" s="3"/>
    </row>
    <row r="5890" spans="2:2" x14ac:dyDescent="0.25">
      <c r="B5890" s="3"/>
    </row>
    <row r="5891" spans="2:2" x14ac:dyDescent="0.25">
      <c r="B5891" s="3"/>
    </row>
    <row r="5892" spans="2:2" x14ac:dyDescent="0.25">
      <c r="B5892" s="3"/>
    </row>
    <row r="5893" spans="2:2" x14ac:dyDescent="0.25">
      <c r="B5893" s="3"/>
    </row>
    <row r="5894" spans="2:2" x14ac:dyDescent="0.25">
      <c r="B5894" s="3"/>
    </row>
    <row r="5895" spans="2:2" x14ac:dyDescent="0.25">
      <c r="B5895" s="3"/>
    </row>
    <row r="5896" spans="2:2" x14ac:dyDescent="0.25">
      <c r="B5896" s="3"/>
    </row>
    <row r="5897" spans="2:2" x14ac:dyDescent="0.25">
      <c r="B5897" s="3"/>
    </row>
    <row r="5898" spans="2:2" x14ac:dyDescent="0.25">
      <c r="B5898" s="3"/>
    </row>
    <row r="5899" spans="2:2" x14ac:dyDescent="0.25">
      <c r="B5899" s="3"/>
    </row>
    <row r="5900" spans="2:2" x14ac:dyDescent="0.25">
      <c r="B5900" s="3"/>
    </row>
    <row r="5901" spans="2:2" x14ac:dyDescent="0.25">
      <c r="B5901" s="3"/>
    </row>
    <row r="5902" spans="2:2" x14ac:dyDescent="0.25">
      <c r="B5902" s="3"/>
    </row>
    <row r="5903" spans="2:2" x14ac:dyDescent="0.25">
      <c r="B5903" s="3"/>
    </row>
    <row r="5904" spans="2:2" x14ac:dyDescent="0.25">
      <c r="B5904" s="3"/>
    </row>
    <row r="5905" spans="2:2" x14ac:dyDescent="0.25">
      <c r="B5905" s="3"/>
    </row>
    <row r="5906" spans="2:2" x14ac:dyDescent="0.25">
      <c r="B5906" s="3"/>
    </row>
    <row r="5907" spans="2:2" x14ac:dyDescent="0.25">
      <c r="B5907" s="3"/>
    </row>
    <row r="5908" spans="2:2" x14ac:dyDescent="0.25">
      <c r="B5908" s="3"/>
    </row>
    <row r="5909" spans="2:2" x14ac:dyDescent="0.25">
      <c r="B5909" s="3"/>
    </row>
    <row r="5910" spans="2:2" x14ac:dyDescent="0.25">
      <c r="B5910" s="3"/>
    </row>
    <row r="5911" spans="2:2" x14ac:dyDescent="0.25">
      <c r="B5911" s="3"/>
    </row>
    <row r="5912" spans="2:2" x14ac:dyDescent="0.25">
      <c r="B5912" s="3"/>
    </row>
    <row r="5913" spans="2:2" x14ac:dyDescent="0.25">
      <c r="B5913" s="3"/>
    </row>
    <row r="5914" spans="2:2" x14ac:dyDescent="0.25">
      <c r="B5914" s="3"/>
    </row>
    <row r="5915" spans="2:2" x14ac:dyDescent="0.25">
      <c r="B5915" s="3"/>
    </row>
    <row r="5916" spans="2:2" x14ac:dyDescent="0.25">
      <c r="B5916" s="3"/>
    </row>
    <row r="5917" spans="2:2" x14ac:dyDescent="0.25">
      <c r="B5917" s="3"/>
    </row>
    <row r="5918" spans="2:2" x14ac:dyDescent="0.25">
      <c r="B5918" s="3"/>
    </row>
    <row r="5919" spans="2:2" x14ac:dyDescent="0.25">
      <c r="B5919" s="3"/>
    </row>
    <row r="5920" spans="2:2" x14ac:dyDescent="0.25">
      <c r="B5920" s="3"/>
    </row>
    <row r="5921" spans="2:2" x14ac:dyDescent="0.25">
      <c r="B5921" s="3"/>
    </row>
    <row r="5922" spans="2:2" x14ac:dyDescent="0.25">
      <c r="B5922" s="3"/>
    </row>
    <row r="5923" spans="2:2" x14ac:dyDescent="0.25">
      <c r="B5923" s="3"/>
    </row>
    <row r="5924" spans="2:2" x14ac:dyDescent="0.25">
      <c r="B5924" s="3"/>
    </row>
    <row r="5925" spans="2:2" x14ac:dyDescent="0.25">
      <c r="B5925" s="3"/>
    </row>
    <row r="5926" spans="2:2" x14ac:dyDescent="0.25">
      <c r="B5926" s="3"/>
    </row>
    <row r="5927" spans="2:2" x14ac:dyDescent="0.25">
      <c r="B5927" s="3"/>
    </row>
    <row r="5928" spans="2:2" x14ac:dyDescent="0.25">
      <c r="B5928" s="3"/>
    </row>
    <row r="5929" spans="2:2" x14ac:dyDescent="0.25">
      <c r="B5929" s="3"/>
    </row>
    <row r="5930" spans="2:2" x14ac:dyDescent="0.25">
      <c r="B5930" s="3"/>
    </row>
    <row r="5931" spans="2:2" x14ac:dyDescent="0.25">
      <c r="B5931" s="3"/>
    </row>
    <row r="5932" spans="2:2" x14ac:dyDescent="0.25">
      <c r="B5932" s="3"/>
    </row>
    <row r="5933" spans="2:2" x14ac:dyDescent="0.25">
      <c r="B5933" s="3"/>
    </row>
    <row r="5934" spans="2:2" x14ac:dyDescent="0.25">
      <c r="B5934" s="3"/>
    </row>
    <row r="5935" spans="2:2" x14ac:dyDescent="0.25">
      <c r="B5935" s="3"/>
    </row>
    <row r="5936" spans="2:2" x14ac:dyDescent="0.25">
      <c r="B5936" s="3"/>
    </row>
    <row r="5937" spans="2:2" x14ac:dyDescent="0.25">
      <c r="B5937" s="3"/>
    </row>
    <row r="5938" spans="2:2" x14ac:dyDescent="0.25">
      <c r="B5938" s="3"/>
    </row>
    <row r="5939" spans="2:2" x14ac:dyDescent="0.25">
      <c r="B5939" s="3"/>
    </row>
    <row r="5940" spans="2:2" x14ac:dyDescent="0.25">
      <c r="B5940" s="3"/>
    </row>
    <row r="5941" spans="2:2" x14ac:dyDescent="0.25">
      <c r="B5941" s="3"/>
    </row>
    <row r="5942" spans="2:2" x14ac:dyDescent="0.25">
      <c r="B5942" s="3"/>
    </row>
    <row r="5943" spans="2:2" x14ac:dyDescent="0.25">
      <c r="B5943" s="3"/>
    </row>
    <row r="5944" spans="2:2" x14ac:dyDescent="0.25">
      <c r="B5944" s="3"/>
    </row>
    <row r="5945" spans="2:2" x14ac:dyDescent="0.25">
      <c r="B5945" s="3"/>
    </row>
    <row r="5946" spans="2:2" x14ac:dyDescent="0.25">
      <c r="B5946" s="3"/>
    </row>
    <row r="5947" spans="2:2" x14ac:dyDescent="0.25">
      <c r="B5947" s="3"/>
    </row>
    <row r="5948" spans="2:2" x14ac:dyDescent="0.25">
      <c r="B5948" s="3"/>
    </row>
    <row r="5949" spans="2:2" x14ac:dyDescent="0.25">
      <c r="B5949" s="3"/>
    </row>
    <row r="5950" spans="2:2" x14ac:dyDescent="0.25">
      <c r="B5950" s="3"/>
    </row>
    <row r="5951" spans="2:2" x14ac:dyDescent="0.25">
      <c r="B5951" s="3"/>
    </row>
    <row r="5952" spans="2:2" x14ac:dyDescent="0.25">
      <c r="B5952" s="3"/>
    </row>
    <row r="5953" spans="2:2" x14ac:dyDescent="0.25">
      <c r="B5953" s="3"/>
    </row>
    <row r="5954" spans="2:2" x14ac:dyDescent="0.25">
      <c r="B5954" s="3"/>
    </row>
    <row r="5955" spans="2:2" x14ac:dyDescent="0.25">
      <c r="B5955" s="3"/>
    </row>
    <row r="5956" spans="2:2" x14ac:dyDescent="0.25">
      <c r="B5956" s="3"/>
    </row>
    <row r="5957" spans="2:2" x14ac:dyDescent="0.25">
      <c r="B5957" s="3"/>
    </row>
    <row r="5958" spans="2:2" x14ac:dyDescent="0.25">
      <c r="B5958" s="3"/>
    </row>
    <row r="5959" spans="2:2" x14ac:dyDescent="0.25">
      <c r="B5959" s="3"/>
    </row>
    <row r="5960" spans="2:2" x14ac:dyDescent="0.25">
      <c r="B5960" s="3"/>
    </row>
    <row r="5961" spans="2:2" x14ac:dyDescent="0.25">
      <c r="B5961" s="3"/>
    </row>
    <row r="5962" spans="2:2" x14ac:dyDescent="0.25">
      <c r="B5962" s="3"/>
    </row>
    <row r="5963" spans="2:2" x14ac:dyDescent="0.25">
      <c r="B5963" s="3"/>
    </row>
    <row r="5964" spans="2:2" x14ac:dyDescent="0.25">
      <c r="B5964" s="3"/>
    </row>
    <row r="5965" spans="2:2" x14ac:dyDescent="0.25">
      <c r="B5965" s="3"/>
    </row>
    <row r="5966" spans="2:2" x14ac:dyDescent="0.25">
      <c r="B5966" s="3"/>
    </row>
    <row r="5967" spans="2:2" x14ac:dyDescent="0.25">
      <c r="B5967" s="3"/>
    </row>
    <row r="5968" spans="2:2" x14ac:dyDescent="0.25">
      <c r="B5968" s="3"/>
    </row>
    <row r="5969" spans="2:2" x14ac:dyDescent="0.25">
      <c r="B5969" s="3"/>
    </row>
    <row r="5970" spans="2:2" x14ac:dyDescent="0.25">
      <c r="B5970" s="3"/>
    </row>
    <row r="5971" spans="2:2" x14ac:dyDescent="0.25">
      <c r="B5971" s="3"/>
    </row>
    <row r="5972" spans="2:2" x14ac:dyDescent="0.25">
      <c r="B5972" s="3"/>
    </row>
    <row r="5973" spans="2:2" x14ac:dyDescent="0.25">
      <c r="B5973" s="3"/>
    </row>
    <row r="5974" spans="2:2" x14ac:dyDescent="0.25">
      <c r="B5974" s="3"/>
    </row>
    <row r="5975" spans="2:2" x14ac:dyDescent="0.25">
      <c r="B5975" s="3"/>
    </row>
    <row r="5976" spans="2:2" x14ac:dyDescent="0.25">
      <c r="B5976" s="3"/>
    </row>
    <row r="5977" spans="2:2" x14ac:dyDescent="0.25">
      <c r="B5977" s="3"/>
    </row>
    <row r="5978" spans="2:2" x14ac:dyDescent="0.25">
      <c r="B5978" s="3"/>
    </row>
    <row r="5979" spans="2:2" x14ac:dyDescent="0.25">
      <c r="B5979" s="3"/>
    </row>
    <row r="5980" spans="2:2" x14ac:dyDescent="0.25">
      <c r="B5980" s="3"/>
    </row>
    <row r="5981" spans="2:2" x14ac:dyDescent="0.25">
      <c r="B5981" s="3"/>
    </row>
    <row r="5982" spans="2:2" x14ac:dyDescent="0.25">
      <c r="B5982" s="3"/>
    </row>
    <row r="5983" spans="2:2" x14ac:dyDescent="0.25">
      <c r="B5983" s="3"/>
    </row>
    <row r="5984" spans="2:2" x14ac:dyDescent="0.25">
      <c r="B5984" s="3"/>
    </row>
    <row r="5985" spans="2:2" x14ac:dyDescent="0.25">
      <c r="B5985" s="3"/>
    </row>
    <row r="5986" spans="2:2" x14ac:dyDescent="0.25">
      <c r="B5986" s="3"/>
    </row>
    <row r="5987" spans="2:2" x14ac:dyDescent="0.25">
      <c r="B5987" s="3"/>
    </row>
    <row r="5988" spans="2:2" x14ac:dyDescent="0.25">
      <c r="B5988" s="3"/>
    </row>
    <row r="5989" spans="2:2" x14ac:dyDescent="0.25">
      <c r="B5989" s="3"/>
    </row>
    <row r="5990" spans="2:2" x14ac:dyDescent="0.25">
      <c r="B5990" s="3"/>
    </row>
    <row r="5991" spans="2:2" x14ac:dyDescent="0.25">
      <c r="B5991" s="3"/>
    </row>
    <row r="5992" spans="2:2" x14ac:dyDescent="0.25">
      <c r="B5992" s="3"/>
    </row>
    <row r="5993" spans="2:2" x14ac:dyDescent="0.25">
      <c r="B5993" s="3"/>
    </row>
    <row r="5994" spans="2:2" x14ac:dyDescent="0.25">
      <c r="B5994" s="3"/>
    </row>
    <row r="5995" spans="2:2" x14ac:dyDescent="0.25">
      <c r="B5995" s="3"/>
    </row>
    <row r="5996" spans="2:2" x14ac:dyDescent="0.25">
      <c r="B5996" s="3"/>
    </row>
    <row r="5997" spans="2:2" x14ac:dyDescent="0.25">
      <c r="B5997" s="3"/>
    </row>
    <row r="5998" spans="2:2" x14ac:dyDescent="0.25">
      <c r="B5998" s="3"/>
    </row>
    <row r="5999" spans="2:2" x14ac:dyDescent="0.25">
      <c r="B5999" s="3"/>
    </row>
    <row r="6000" spans="2:2" x14ac:dyDescent="0.25">
      <c r="B6000" s="3"/>
    </row>
    <row r="6001" spans="2:2" x14ac:dyDescent="0.25">
      <c r="B6001" s="3"/>
    </row>
    <row r="6002" spans="2:2" x14ac:dyDescent="0.25">
      <c r="B6002" s="3"/>
    </row>
    <row r="6003" spans="2:2" x14ac:dyDescent="0.25">
      <c r="B6003" s="3"/>
    </row>
    <row r="6004" spans="2:2" x14ac:dyDescent="0.25">
      <c r="B6004" s="3"/>
    </row>
    <row r="6005" spans="2:2" x14ac:dyDescent="0.25">
      <c r="B6005" s="3"/>
    </row>
    <row r="6006" spans="2:2" x14ac:dyDescent="0.25">
      <c r="B6006" s="3"/>
    </row>
    <row r="6007" spans="2:2" x14ac:dyDescent="0.25">
      <c r="B6007" s="3"/>
    </row>
    <row r="6008" spans="2:2" x14ac:dyDescent="0.25">
      <c r="B6008" s="3"/>
    </row>
    <row r="6009" spans="2:2" x14ac:dyDescent="0.25">
      <c r="B6009" s="3"/>
    </row>
    <row r="6010" spans="2:2" x14ac:dyDescent="0.25">
      <c r="B6010" s="3"/>
    </row>
    <row r="6011" spans="2:2" x14ac:dyDescent="0.25">
      <c r="B6011" s="3"/>
    </row>
    <row r="6012" spans="2:2" x14ac:dyDescent="0.25">
      <c r="B6012" s="3"/>
    </row>
    <row r="6013" spans="2:2" x14ac:dyDescent="0.25">
      <c r="B6013" s="3"/>
    </row>
    <row r="6014" spans="2:2" x14ac:dyDescent="0.25">
      <c r="B6014" s="3"/>
    </row>
    <row r="6015" spans="2:2" x14ac:dyDescent="0.25">
      <c r="B6015" s="3"/>
    </row>
    <row r="6016" spans="2:2" x14ac:dyDescent="0.25">
      <c r="B6016" s="3"/>
    </row>
    <row r="6017" spans="2:2" x14ac:dyDescent="0.25">
      <c r="B6017" s="3"/>
    </row>
    <row r="6018" spans="2:2" x14ac:dyDescent="0.25">
      <c r="B6018" s="3"/>
    </row>
    <row r="6019" spans="2:2" x14ac:dyDescent="0.25">
      <c r="B6019" s="3"/>
    </row>
    <row r="6020" spans="2:2" x14ac:dyDescent="0.25">
      <c r="B6020" s="3"/>
    </row>
    <row r="6021" spans="2:2" x14ac:dyDescent="0.25">
      <c r="B6021" s="3"/>
    </row>
    <row r="6022" spans="2:2" x14ac:dyDescent="0.25">
      <c r="B6022" s="3"/>
    </row>
    <row r="6023" spans="2:2" x14ac:dyDescent="0.25">
      <c r="B6023" s="3"/>
    </row>
    <row r="6024" spans="2:2" x14ac:dyDescent="0.25">
      <c r="B6024" s="3"/>
    </row>
    <row r="6025" spans="2:2" x14ac:dyDescent="0.25">
      <c r="B6025" s="3"/>
    </row>
    <row r="6026" spans="2:2" x14ac:dyDescent="0.25">
      <c r="B6026" s="3"/>
    </row>
    <row r="6027" spans="2:2" x14ac:dyDescent="0.25">
      <c r="B6027" s="3"/>
    </row>
    <row r="6028" spans="2:2" x14ac:dyDescent="0.25">
      <c r="B6028" s="3"/>
    </row>
    <row r="6029" spans="2:2" x14ac:dyDescent="0.25">
      <c r="B6029" s="3"/>
    </row>
    <row r="6030" spans="2:2" x14ac:dyDescent="0.25">
      <c r="B6030" s="3"/>
    </row>
    <row r="6031" spans="2:2" x14ac:dyDescent="0.25">
      <c r="B6031" s="3"/>
    </row>
    <row r="6032" spans="2:2" x14ac:dyDescent="0.25">
      <c r="B6032" s="3"/>
    </row>
    <row r="6033" spans="2:2" x14ac:dyDescent="0.25">
      <c r="B6033" s="3"/>
    </row>
    <row r="6034" spans="2:2" x14ac:dyDescent="0.25">
      <c r="B6034" s="3"/>
    </row>
    <row r="6035" spans="2:2" x14ac:dyDescent="0.25">
      <c r="B6035" s="3"/>
    </row>
    <row r="6036" spans="2:2" x14ac:dyDescent="0.25">
      <c r="B6036" s="3"/>
    </row>
    <row r="6037" spans="2:2" x14ac:dyDescent="0.25">
      <c r="B6037" s="3"/>
    </row>
    <row r="6038" spans="2:2" x14ac:dyDescent="0.25">
      <c r="B6038" s="3"/>
    </row>
    <row r="6039" spans="2:2" x14ac:dyDescent="0.25">
      <c r="B6039" s="3"/>
    </row>
    <row r="6040" spans="2:2" x14ac:dyDescent="0.25">
      <c r="B6040" s="3"/>
    </row>
    <row r="6041" spans="2:2" x14ac:dyDescent="0.25">
      <c r="B6041" s="3"/>
    </row>
    <row r="6042" spans="2:2" x14ac:dyDescent="0.25">
      <c r="B6042" s="3"/>
    </row>
    <row r="6043" spans="2:2" x14ac:dyDescent="0.25">
      <c r="B6043" s="3"/>
    </row>
    <row r="6044" spans="2:2" x14ac:dyDescent="0.25">
      <c r="B6044" s="3"/>
    </row>
    <row r="6045" spans="2:2" x14ac:dyDescent="0.25">
      <c r="B6045" s="3"/>
    </row>
    <row r="6046" spans="2:2" x14ac:dyDescent="0.25">
      <c r="B6046" s="3"/>
    </row>
    <row r="6047" spans="2:2" x14ac:dyDescent="0.25">
      <c r="B6047" s="3"/>
    </row>
    <row r="6048" spans="2:2" x14ac:dyDescent="0.25">
      <c r="B6048" s="3"/>
    </row>
    <row r="6049" spans="2:2" x14ac:dyDescent="0.25">
      <c r="B6049" s="3"/>
    </row>
    <row r="6050" spans="2:2" x14ac:dyDescent="0.25">
      <c r="B6050" s="3"/>
    </row>
    <row r="6051" spans="2:2" x14ac:dyDescent="0.25">
      <c r="B6051" s="3"/>
    </row>
    <row r="6052" spans="2:2" x14ac:dyDescent="0.25">
      <c r="B6052" s="3"/>
    </row>
    <row r="6053" spans="2:2" x14ac:dyDescent="0.25">
      <c r="B6053" s="3"/>
    </row>
    <row r="6054" spans="2:2" x14ac:dyDescent="0.25">
      <c r="B6054" s="3"/>
    </row>
    <row r="6055" spans="2:2" x14ac:dyDescent="0.25">
      <c r="B6055" s="3"/>
    </row>
    <row r="6056" spans="2:2" x14ac:dyDescent="0.25">
      <c r="B6056" s="3"/>
    </row>
    <row r="6057" spans="2:2" x14ac:dyDescent="0.25">
      <c r="B6057" s="3"/>
    </row>
    <row r="6058" spans="2:2" x14ac:dyDescent="0.25">
      <c r="B6058" s="3"/>
    </row>
    <row r="6059" spans="2:2" x14ac:dyDescent="0.25">
      <c r="B6059" s="3"/>
    </row>
    <row r="6060" spans="2:2" x14ac:dyDescent="0.25">
      <c r="B6060" s="3"/>
    </row>
    <row r="6061" spans="2:2" x14ac:dyDescent="0.25">
      <c r="B6061" s="3"/>
    </row>
    <row r="6062" spans="2:2" x14ac:dyDescent="0.25">
      <c r="B6062" s="3"/>
    </row>
    <row r="6063" spans="2:2" x14ac:dyDescent="0.25">
      <c r="B6063" s="3"/>
    </row>
    <row r="6064" spans="2:2" x14ac:dyDescent="0.25">
      <c r="B6064" s="3"/>
    </row>
    <row r="6065" spans="2:2" x14ac:dyDescent="0.25">
      <c r="B6065" s="3"/>
    </row>
    <row r="6066" spans="2:2" x14ac:dyDescent="0.25">
      <c r="B6066" s="3"/>
    </row>
    <row r="6067" spans="2:2" x14ac:dyDescent="0.25">
      <c r="B6067" s="3"/>
    </row>
    <row r="6068" spans="2:2" x14ac:dyDescent="0.25">
      <c r="B6068" s="3"/>
    </row>
    <row r="6069" spans="2:2" x14ac:dyDescent="0.25">
      <c r="B6069" s="3"/>
    </row>
    <row r="6070" spans="2:2" x14ac:dyDescent="0.25">
      <c r="B6070" s="3"/>
    </row>
    <row r="6071" spans="2:2" x14ac:dyDescent="0.25">
      <c r="B6071" s="3"/>
    </row>
    <row r="6072" spans="2:2" x14ac:dyDescent="0.25">
      <c r="B6072" s="3"/>
    </row>
    <row r="6073" spans="2:2" x14ac:dyDescent="0.25">
      <c r="B6073" s="3"/>
    </row>
    <row r="6074" spans="2:2" x14ac:dyDescent="0.25">
      <c r="B6074" s="3"/>
    </row>
    <row r="6075" spans="2:2" x14ac:dyDescent="0.25">
      <c r="B6075" s="3"/>
    </row>
    <row r="6076" spans="2:2" x14ac:dyDescent="0.25">
      <c r="B6076" s="3"/>
    </row>
    <row r="6077" spans="2:2" x14ac:dyDescent="0.25">
      <c r="B6077" s="3"/>
    </row>
    <row r="6078" spans="2:2" x14ac:dyDescent="0.25">
      <c r="B6078" s="3"/>
    </row>
    <row r="6079" spans="2:2" x14ac:dyDescent="0.25">
      <c r="B6079" s="3"/>
    </row>
    <row r="6080" spans="2:2" x14ac:dyDescent="0.25">
      <c r="B6080" s="3"/>
    </row>
    <row r="6081" spans="2:2" x14ac:dyDescent="0.25">
      <c r="B6081" s="3"/>
    </row>
    <row r="6082" spans="2:2" x14ac:dyDescent="0.25">
      <c r="B6082" s="3"/>
    </row>
    <row r="6083" spans="2:2" x14ac:dyDescent="0.25">
      <c r="B6083" s="3"/>
    </row>
    <row r="6084" spans="2:2" x14ac:dyDescent="0.25">
      <c r="B6084" s="3"/>
    </row>
    <row r="6085" spans="2:2" x14ac:dyDescent="0.25">
      <c r="B6085" s="3"/>
    </row>
    <row r="6086" spans="2:2" x14ac:dyDescent="0.25">
      <c r="B6086" s="3"/>
    </row>
    <row r="6087" spans="2:2" x14ac:dyDescent="0.25">
      <c r="B6087" s="3"/>
    </row>
    <row r="6088" spans="2:2" x14ac:dyDescent="0.25">
      <c r="B6088" s="3"/>
    </row>
    <row r="6089" spans="2:2" x14ac:dyDescent="0.25">
      <c r="B6089" s="3"/>
    </row>
    <row r="6090" spans="2:2" x14ac:dyDescent="0.25">
      <c r="B6090" s="3"/>
    </row>
    <row r="6091" spans="2:2" x14ac:dyDescent="0.25">
      <c r="B6091" s="3"/>
    </row>
    <row r="6092" spans="2:2" x14ac:dyDescent="0.25">
      <c r="B6092" s="3"/>
    </row>
    <row r="6093" spans="2:2" x14ac:dyDescent="0.25">
      <c r="B6093" s="3"/>
    </row>
    <row r="6094" spans="2:2" x14ac:dyDescent="0.25">
      <c r="B6094" s="3"/>
    </row>
    <row r="6095" spans="2:2" x14ac:dyDescent="0.25">
      <c r="B6095" s="3"/>
    </row>
    <row r="6096" spans="2:2" x14ac:dyDescent="0.25">
      <c r="B6096" s="3"/>
    </row>
    <row r="6097" spans="2:2" x14ac:dyDescent="0.25">
      <c r="B6097" s="3"/>
    </row>
    <row r="6098" spans="2:2" x14ac:dyDescent="0.25">
      <c r="B6098" s="3"/>
    </row>
    <row r="6099" spans="2:2" x14ac:dyDescent="0.25">
      <c r="B6099" s="3"/>
    </row>
    <row r="6100" spans="2:2" x14ac:dyDescent="0.25">
      <c r="B6100" s="3"/>
    </row>
    <row r="6101" spans="2:2" x14ac:dyDescent="0.25">
      <c r="B6101" s="3"/>
    </row>
    <row r="6102" spans="2:2" x14ac:dyDescent="0.25">
      <c r="B6102" s="3"/>
    </row>
    <row r="6103" spans="2:2" x14ac:dyDescent="0.25">
      <c r="B6103" s="3"/>
    </row>
    <row r="6104" spans="2:2" x14ac:dyDescent="0.25">
      <c r="B6104" s="3"/>
    </row>
    <row r="6105" spans="2:2" x14ac:dyDescent="0.25">
      <c r="B6105" s="3"/>
    </row>
    <row r="6106" spans="2:2" x14ac:dyDescent="0.25">
      <c r="B6106" s="3"/>
    </row>
    <row r="6107" spans="2:2" x14ac:dyDescent="0.25">
      <c r="B6107" s="3"/>
    </row>
    <row r="6108" spans="2:2" x14ac:dyDescent="0.25">
      <c r="B6108" s="3"/>
    </row>
    <row r="6109" spans="2:2" x14ac:dyDescent="0.25">
      <c r="B6109" s="3"/>
    </row>
    <row r="6110" spans="2:2" x14ac:dyDescent="0.25">
      <c r="B6110" s="3"/>
    </row>
    <row r="6111" spans="2:2" x14ac:dyDescent="0.25">
      <c r="B6111" s="3"/>
    </row>
    <row r="6112" spans="2:2" x14ac:dyDescent="0.25">
      <c r="B6112" s="3"/>
    </row>
    <row r="6113" spans="2:2" x14ac:dyDescent="0.25">
      <c r="B6113" s="3"/>
    </row>
    <row r="6114" spans="2:2" x14ac:dyDescent="0.25">
      <c r="B6114" s="3"/>
    </row>
    <row r="6115" spans="2:2" x14ac:dyDescent="0.25">
      <c r="B6115" s="3"/>
    </row>
    <row r="6116" spans="2:2" x14ac:dyDescent="0.25">
      <c r="B6116" s="3"/>
    </row>
    <row r="6117" spans="2:2" x14ac:dyDescent="0.25">
      <c r="B6117" s="3"/>
    </row>
    <row r="6118" spans="2:2" x14ac:dyDescent="0.25">
      <c r="B6118" s="3"/>
    </row>
    <row r="6119" spans="2:2" x14ac:dyDescent="0.25">
      <c r="B6119" s="3"/>
    </row>
    <row r="6120" spans="2:2" x14ac:dyDescent="0.25">
      <c r="B6120" s="3"/>
    </row>
    <row r="6121" spans="2:2" x14ac:dyDescent="0.25">
      <c r="B6121" s="3"/>
    </row>
    <row r="6122" spans="2:2" x14ac:dyDescent="0.25">
      <c r="B6122" s="3"/>
    </row>
    <row r="6123" spans="2:2" x14ac:dyDescent="0.25">
      <c r="B6123" s="3"/>
    </row>
    <row r="6124" spans="2:2" x14ac:dyDescent="0.25">
      <c r="B6124" s="3"/>
    </row>
    <row r="6125" spans="2:2" x14ac:dyDescent="0.25">
      <c r="B6125" s="3"/>
    </row>
    <row r="6126" spans="2:2" x14ac:dyDescent="0.25">
      <c r="B6126" s="3"/>
    </row>
    <row r="6127" spans="2:2" x14ac:dyDescent="0.25">
      <c r="B6127" s="3"/>
    </row>
    <row r="6128" spans="2:2" x14ac:dyDescent="0.25">
      <c r="B6128" s="3"/>
    </row>
    <row r="6129" spans="2:2" x14ac:dyDescent="0.25">
      <c r="B6129" s="3"/>
    </row>
    <row r="6130" spans="2:2" x14ac:dyDescent="0.25">
      <c r="B6130" s="3"/>
    </row>
    <row r="6131" spans="2:2" x14ac:dyDescent="0.25">
      <c r="B6131" s="3"/>
    </row>
    <row r="6132" spans="2:2" x14ac:dyDescent="0.25">
      <c r="B6132" s="3"/>
    </row>
    <row r="6133" spans="2:2" x14ac:dyDescent="0.25">
      <c r="B6133" s="3"/>
    </row>
    <row r="6134" spans="2:2" x14ac:dyDescent="0.25">
      <c r="B6134" s="3"/>
    </row>
    <row r="6135" spans="2:2" x14ac:dyDescent="0.25">
      <c r="B6135" s="3"/>
    </row>
    <row r="6136" spans="2:2" x14ac:dyDescent="0.25">
      <c r="B6136" s="3"/>
    </row>
    <row r="6137" spans="2:2" x14ac:dyDescent="0.25">
      <c r="B6137" s="3"/>
    </row>
    <row r="6138" spans="2:2" x14ac:dyDescent="0.25">
      <c r="B6138" s="3"/>
    </row>
    <row r="6139" spans="2:2" x14ac:dyDescent="0.25">
      <c r="B6139" s="3"/>
    </row>
    <row r="6140" spans="2:2" x14ac:dyDescent="0.25">
      <c r="B6140" s="3"/>
    </row>
    <row r="6141" spans="2:2" x14ac:dyDescent="0.25">
      <c r="B6141" s="3"/>
    </row>
    <row r="6142" spans="2:2" x14ac:dyDescent="0.25">
      <c r="B6142" s="3"/>
    </row>
    <row r="6143" spans="2:2" x14ac:dyDescent="0.25">
      <c r="B6143" s="3"/>
    </row>
    <row r="6144" spans="2:2" x14ac:dyDescent="0.25">
      <c r="B6144" s="3"/>
    </row>
    <row r="6145" spans="2:2" x14ac:dyDescent="0.25">
      <c r="B6145" s="3"/>
    </row>
    <row r="6146" spans="2:2" x14ac:dyDescent="0.25">
      <c r="B6146" s="3"/>
    </row>
    <row r="6147" spans="2:2" x14ac:dyDescent="0.25">
      <c r="B6147" s="3"/>
    </row>
    <row r="6148" spans="2:2" x14ac:dyDescent="0.25">
      <c r="B6148" s="3"/>
    </row>
    <row r="6149" spans="2:2" x14ac:dyDescent="0.25">
      <c r="B6149" s="3"/>
    </row>
    <row r="6150" spans="2:2" x14ac:dyDescent="0.25">
      <c r="B6150" s="3"/>
    </row>
    <row r="6151" spans="2:2" x14ac:dyDescent="0.25">
      <c r="B6151" s="3"/>
    </row>
    <row r="6152" spans="2:2" x14ac:dyDescent="0.25">
      <c r="B6152" s="3"/>
    </row>
    <row r="6153" spans="2:2" x14ac:dyDescent="0.25">
      <c r="B6153" s="3"/>
    </row>
    <row r="6154" spans="2:2" x14ac:dyDescent="0.25">
      <c r="B6154" s="3"/>
    </row>
    <row r="6155" spans="2:2" x14ac:dyDescent="0.25">
      <c r="B6155" s="3"/>
    </row>
    <row r="6156" spans="2:2" x14ac:dyDescent="0.25">
      <c r="B6156" s="3"/>
    </row>
    <row r="6157" spans="2:2" x14ac:dyDescent="0.25">
      <c r="B6157" s="3"/>
    </row>
    <row r="6158" spans="2:2" x14ac:dyDescent="0.25">
      <c r="B6158" s="3"/>
    </row>
    <row r="6159" spans="2:2" x14ac:dyDescent="0.25">
      <c r="B6159" s="3"/>
    </row>
    <row r="6160" spans="2:2" x14ac:dyDescent="0.25">
      <c r="B6160" s="3"/>
    </row>
    <row r="6161" spans="2:2" x14ac:dyDescent="0.25">
      <c r="B6161" s="3"/>
    </row>
    <row r="6162" spans="2:2" x14ac:dyDescent="0.25">
      <c r="B6162" s="3"/>
    </row>
    <row r="6163" spans="2:2" x14ac:dyDescent="0.25">
      <c r="B6163" s="3"/>
    </row>
    <row r="6164" spans="2:2" x14ac:dyDescent="0.25">
      <c r="B6164" s="3"/>
    </row>
    <row r="6165" spans="2:2" x14ac:dyDescent="0.25">
      <c r="B6165" s="3"/>
    </row>
    <row r="6166" spans="2:2" x14ac:dyDescent="0.25">
      <c r="B6166" s="3"/>
    </row>
    <row r="6167" spans="2:2" x14ac:dyDescent="0.25">
      <c r="B6167" s="3"/>
    </row>
    <row r="6168" spans="2:2" x14ac:dyDescent="0.25">
      <c r="B6168" s="3"/>
    </row>
    <row r="6169" spans="2:2" x14ac:dyDescent="0.25">
      <c r="B6169" s="3"/>
    </row>
    <row r="6170" spans="2:2" x14ac:dyDescent="0.25">
      <c r="B6170" s="3"/>
    </row>
    <row r="6171" spans="2:2" x14ac:dyDescent="0.25">
      <c r="B6171" s="3"/>
    </row>
    <row r="6172" spans="2:2" x14ac:dyDescent="0.25">
      <c r="B6172" s="3"/>
    </row>
    <row r="6173" spans="2:2" x14ac:dyDescent="0.25">
      <c r="B6173" s="3"/>
    </row>
    <row r="6174" spans="2:2" x14ac:dyDescent="0.25">
      <c r="B6174" s="3"/>
    </row>
    <row r="6175" spans="2:2" x14ac:dyDescent="0.25">
      <c r="B6175" s="3"/>
    </row>
    <row r="6176" spans="2:2" x14ac:dyDescent="0.25">
      <c r="B6176" s="3"/>
    </row>
    <row r="6177" spans="2:2" x14ac:dyDescent="0.25">
      <c r="B6177" s="3"/>
    </row>
    <row r="6178" spans="2:2" x14ac:dyDescent="0.25">
      <c r="B6178" s="3"/>
    </row>
    <row r="6179" spans="2:2" x14ac:dyDescent="0.25">
      <c r="B6179" s="3"/>
    </row>
    <row r="6180" spans="2:2" x14ac:dyDescent="0.25">
      <c r="B6180" s="3"/>
    </row>
    <row r="6181" spans="2:2" x14ac:dyDescent="0.25">
      <c r="B6181" s="3"/>
    </row>
    <row r="6182" spans="2:2" x14ac:dyDescent="0.25">
      <c r="B6182" s="3"/>
    </row>
    <row r="6183" spans="2:2" x14ac:dyDescent="0.25">
      <c r="B6183" s="3"/>
    </row>
    <row r="6184" spans="2:2" x14ac:dyDescent="0.25">
      <c r="B6184" s="3"/>
    </row>
    <row r="6185" spans="2:2" x14ac:dyDescent="0.25">
      <c r="B6185" s="3"/>
    </row>
    <row r="6186" spans="2:2" x14ac:dyDescent="0.25">
      <c r="B6186" s="3"/>
    </row>
    <row r="6187" spans="2:2" x14ac:dyDescent="0.25">
      <c r="B6187" s="3"/>
    </row>
    <row r="6188" spans="2:2" x14ac:dyDescent="0.25">
      <c r="B6188" s="3"/>
    </row>
    <row r="6189" spans="2:2" x14ac:dyDescent="0.25">
      <c r="B6189" s="3"/>
    </row>
    <row r="6190" spans="2:2" x14ac:dyDescent="0.25">
      <c r="B6190" s="3"/>
    </row>
    <row r="6191" spans="2:2" x14ac:dyDescent="0.25">
      <c r="B6191" s="3"/>
    </row>
    <row r="6192" spans="2:2" x14ac:dyDescent="0.25">
      <c r="B6192" s="3"/>
    </row>
    <row r="6193" spans="2:2" x14ac:dyDescent="0.25">
      <c r="B6193" s="3"/>
    </row>
    <row r="6194" spans="2:2" x14ac:dyDescent="0.25">
      <c r="B6194" s="3"/>
    </row>
    <row r="6195" spans="2:2" x14ac:dyDescent="0.25">
      <c r="B6195" s="3"/>
    </row>
    <row r="6196" spans="2:2" x14ac:dyDescent="0.25">
      <c r="B6196" s="3"/>
    </row>
    <row r="6197" spans="2:2" x14ac:dyDescent="0.25">
      <c r="B6197" s="3"/>
    </row>
    <row r="6198" spans="2:2" x14ac:dyDescent="0.25">
      <c r="B6198" s="3"/>
    </row>
    <row r="6199" spans="2:2" x14ac:dyDescent="0.25">
      <c r="B6199" s="3"/>
    </row>
    <row r="6200" spans="2:2" x14ac:dyDescent="0.25">
      <c r="B6200" s="3"/>
    </row>
    <row r="6201" spans="2:2" x14ac:dyDescent="0.25">
      <c r="B6201" s="3"/>
    </row>
    <row r="6202" spans="2:2" x14ac:dyDescent="0.25">
      <c r="B6202" s="3"/>
    </row>
    <row r="6203" spans="2:2" x14ac:dyDescent="0.25">
      <c r="B6203" s="3"/>
    </row>
    <row r="6204" spans="2:2" x14ac:dyDescent="0.25">
      <c r="B6204" s="3"/>
    </row>
    <row r="6205" spans="2:2" x14ac:dyDescent="0.25">
      <c r="B6205" s="3"/>
    </row>
    <row r="6206" spans="2:2" x14ac:dyDescent="0.25">
      <c r="B6206" s="3"/>
    </row>
    <row r="6207" spans="2:2" x14ac:dyDescent="0.25">
      <c r="B6207" s="3"/>
    </row>
    <row r="6208" spans="2:2" x14ac:dyDescent="0.25">
      <c r="B6208" s="3"/>
    </row>
    <row r="6209" spans="2:2" x14ac:dyDescent="0.25">
      <c r="B6209" s="3"/>
    </row>
    <row r="6210" spans="2:2" x14ac:dyDescent="0.25">
      <c r="B6210" s="3"/>
    </row>
    <row r="6211" spans="2:2" x14ac:dyDescent="0.25">
      <c r="B6211" s="3"/>
    </row>
    <row r="6212" spans="2:2" x14ac:dyDescent="0.25">
      <c r="B6212" s="3"/>
    </row>
    <row r="6213" spans="2:2" x14ac:dyDescent="0.25">
      <c r="B6213" s="3"/>
    </row>
    <row r="6214" spans="2:2" x14ac:dyDescent="0.25">
      <c r="B6214" s="3"/>
    </row>
    <row r="6215" spans="2:2" x14ac:dyDescent="0.25">
      <c r="B6215" s="3"/>
    </row>
    <row r="6216" spans="2:2" x14ac:dyDescent="0.25">
      <c r="B6216" s="3"/>
    </row>
    <row r="6217" spans="2:2" x14ac:dyDescent="0.25">
      <c r="B6217" s="3"/>
    </row>
    <row r="6218" spans="2:2" x14ac:dyDescent="0.25">
      <c r="B6218" s="3"/>
    </row>
    <row r="6219" spans="2:2" x14ac:dyDescent="0.25">
      <c r="B6219" s="3"/>
    </row>
    <row r="6220" spans="2:2" x14ac:dyDescent="0.25">
      <c r="B6220" s="3"/>
    </row>
    <row r="6221" spans="2:2" x14ac:dyDescent="0.25">
      <c r="B6221" s="3"/>
    </row>
    <row r="6222" spans="2:2" x14ac:dyDescent="0.25">
      <c r="B6222" s="3"/>
    </row>
    <row r="6223" spans="2:2" x14ac:dyDescent="0.25">
      <c r="B6223" s="3"/>
    </row>
    <row r="6224" spans="2:2" x14ac:dyDescent="0.25">
      <c r="B6224" s="3"/>
    </row>
    <row r="6225" spans="2:2" x14ac:dyDescent="0.25">
      <c r="B6225" s="3"/>
    </row>
    <row r="6226" spans="2:2" x14ac:dyDescent="0.25">
      <c r="B6226" s="3"/>
    </row>
    <row r="6227" spans="2:2" x14ac:dyDescent="0.25">
      <c r="B6227" s="3"/>
    </row>
    <row r="6228" spans="2:2" x14ac:dyDescent="0.25">
      <c r="B6228" s="3"/>
    </row>
    <row r="6229" spans="2:2" x14ac:dyDescent="0.25">
      <c r="B6229" s="3"/>
    </row>
    <row r="6230" spans="2:2" x14ac:dyDescent="0.25">
      <c r="B6230" s="3"/>
    </row>
    <row r="6231" spans="2:2" x14ac:dyDescent="0.25">
      <c r="B6231" s="3"/>
    </row>
    <row r="6232" spans="2:2" x14ac:dyDescent="0.25">
      <c r="B6232" s="3"/>
    </row>
    <row r="6233" spans="2:2" x14ac:dyDescent="0.25">
      <c r="B6233" s="3"/>
    </row>
    <row r="6234" spans="2:2" x14ac:dyDescent="0.25">
      <c r="B6234" s="3"/>
    </row>
    <row r="6235" spans="2:2" x14ac:dyDescent="0.25">
      <c r="B6235" s="3"/>
    </row>
    <row r="6236" spans="2:2" x14ac:dyDescent="0.25">
      <c r="B6236" s="3"/>
    </row>
    <row r="6237" spans="2:2" x14ac:dyDescent="0.25">
      <c r="B6237" s="3"/>
    </row>
    <row r="6238" spans="2:2" x14ac:dyDescent="0.25">
      <c r="B6238" s="3"/>
    </row>
    <row r="6239" spans="2:2" x14ac:dyDescent="0.25">
      <c r="B6239" s="3"/>
    </row>
    <row r="6240" spans="2:2" x14ac:dyDescent="0.25">
      <c r="B6240" s="3"/>
    </row>
    <row r="6241" spans="2:2" x14ac:dyDescent="0.25">
      <c r="B6241" s="3"/>
    </row>
    <row r="6242" spans="2:2" x14ac:dyDescent="0.25">
      <c r="B6242" s="3"/>
    </row>
    <row r="6243" spans="2:2" x14ac:dyDescent="0.25">
      <c r="B6243" s="3"/>
    </row>
    <row r="6244" spans="2:2" x14ac:dyDescent="0.25">
      <c r="B6244" s="3"/>
    </row>
    <row r="6245" spans="2:2" x14ac:dyDescent="0.25">
      <c r="B6245" s="3"/>
    </row>
    <row r="6246" spans="2:2" x14ac:dyDescent="0.25">
      <c r="B6246" s="3"/>
    </row>
    <row r="6247" spans="2:2" x14ac:dyDescent="0.25">
      <c r="B6247" s="3"/>
    </row>
    <row r="6248" spans="2:2" x14ac:dyDescent="0.25">
      <c r="B6248" s="3"/>
    </row>
    <row r="6249" spans="2:2" x14ac:dyDescent="0.25">
      <c r="B6249" s="3"/>
    </row>
    <row r="6250" spans="2:2" x14ac:dyDescent="0.25">
      <c r="B6250" s="3"/>
    </row>
    <row r="6251" spans="2:2" x14ac:dyDescent="0.25">
      <c r="B6251" s="3"/>
    </row>
    <row r="6252" spans="2:2" x14ac:dyDescent="0.25">
      <c r="B6252" s="3"/>
    </row>
    <row r="6253" spans="2:2" x14ac:dyDescent="0.25">
      <c r="B6253" s="3"/>
    </row>
    <row r="6254" spans="2:2" x14ac:dyDescent="0.25">
      <c r="B6254" s="3"/>
    </row>
    <row r="6255" spans="2:2" x14ac:dyDescent="0.25">
      <c r="B6255" s="3"/>
    </row>
    <row r="6256" spans="2:2" x14ac:dyDescent="0.25">
      <c r="B6256" s="3"/>
    </row>
    <row r="6257" spans="2:2" x14ac:dyDescent="0.25">
      <c r="B6257" s="3"/>
    </row>
    <row r="6258" spans="2:2" x14ac:dyDescent="0.25">
      <c r="B6258" s="3"/>
    </row>
    <row r="6259" spans="2:2" x14ac:dyDescent="0.25">
      <c r="B6259" s="3"/>
    </row>
    <row r="6260" spans="2:2" x14ac:dyDescent="0.25">
      <c r="B6260" s="3"/>
    </row>
    <row r="6261" spans="2:2" x14ac:dyDescent="0.25">
      <c r="B6261" s="3"/>
    </row>
    <row r="6262" spans="2:2" x14ac:dyDescent="0.25">
      <c r="B6262" s="3"/>
    </row>
    <row r="6263" spans="2:2" x14ac:dyDescent="0.25">
      <c r="B6263" s="3"/>
    </row>
    <row r="6264" spans="2:2" x14ac:dyDescent="0.25">
      <c r="B6264" s="3"/>
    </row>
    <row r="6265" spans="2:2" x14ac:dyDescent="0.25">
      <c r="B6265" s="3"/>
    </row>
    <row r="6266" spans="2:2" x14ac:dyDescent="0.25">
      <c r="B6266" s="3"/>
    </row>
    <row r="6267" spans="2:2" x14ac:dyDescent="0.25">
      <c r="B6267" s="3"/>
    </row>
    <row r="6268" spans="2:2" x14ac:dyDescent="0.25">
      <c r="B6268" s="3"/>
    </row>
    <row r="6269" spans="2:2" x14ac:dyDescent="0.25">
      <c r="B6269" s="3"/>
    </row>
    <row r="6270" spans="2:2" x14ac:dyDescent="0.25">
      <c r="B6270" s="3"/>
    </row>
    <row r="6271" spans="2:2" x14ac:dyDescent="0.25">
      <c r="B6271" s="3"/>
    </row>
    <row r="6272" spans="2:2" x14ac:dyDescent="0.25">
      <c r="B6272" s="3"/>
    </row>
    <row r="6273" spans="2:2" x14ac:dyDescent="0.25">
      <c r="B6273" s="3"/>
    </row>
    <row r="6274" spans="2:2" x14ac:dyDescent="0.25">
      <c r="B6274" s="3"/>
    </row>
    <row r="6275" spans="2:2" x14ac:dyDescent="0.25">
      <c r="B6275" s="3"/>
    </row>
    <row r="6276" spans="2:2" x14ac:dyDescent="0.25">
      <c r="B6276" s="3"/>
    </row>
    <row r="6277" spans="2:2" x14ac:dyDescent="0.25">
      <c r="B6277" s="3"/>
    </row>
    <row r="6278" spans="2:2" x14ac:dyDescent="0.25">
      <c r="B6278" s="3"/>
    </row>
    <row r="6279" spans="2:2" x14ac:dyDescent="0.25">
      <c r="B6279" s="3"/>
    </row>
    <row r="6280" spans="2:2" x14ac:dyDescent="0.25">
      <c r="B6280" s="3"/>
    </row>
    <row r="6281" spans="2:2" x14ac:dyDescent="0.25">
      <c r="B6281" s="3"/>
    </row>
    <row r="6282" spans="2:2" x14ac:dyDescent="0.25">
      <c r="B6282" s="3"/>
    </row>
    <row r="6283" spans="2:2" x14ac:dyDescent="0.25">
      <c r="B6283" s="3"/>
    </row>
    <row r="6284" spans="2:2" x14ac:dyDescent="0.25">
      <c r="B6284" s="3"/>
    </row>
    <row r="6285" spans="2:2" x14ac:dyDescent="0.25">
      <c r="B6285" s="3"/>
    </row>
    <row r="6286" spans="2:2" x14ac:dyDescent="0.25">
      <c r="B6286" s="3"/>
    </row>
    <row r="6287" spans="2:2" x14ac:dyDescent="0.25">
      <c r="B6287" s="3"/>
    </row>
    <row r="6288" spans="2:2" x14ac:dyDescent="0.25">
      <c r="B6288" s="3"/>
    </row>
    <row r="6289" spans="2:2" x14ac:dyDescent="0.25">
      <c r="B6289" s="3"/>
    </row>
    <row r="6290" spans="2:2" x14ac:dyDescent="0.25">
      <c r="B6290" s="3"/>
    </row>
    <row r="6291" spans="2:2" x14ac:dyDescent="0.25">
      <c r="B6291" s="3"/>
    </row>
    <row r="6292" spans="2:2" x14ac:dyDescent="0.25">
      <c r="B6292" s="3"/>
    </row>
    <row r="6293" spans="2:2" x14ac:dyDescent="0.25">
      <c r="B6293" s="3"/>
    </row>
    <row r="6294" spans="2:2" x14ac:dyDescent="0.25">
      <c r="B6294" s="3"/>
    </row>
    <row r="6295" spans="2:2" x14ac:dyDescent="0.25">
      <c r="B6295" s="3"/>
    </row>
    <row r="6296" spans="2:2" x14ac:dyDescent="0.25">
      <c r="B6296" s="3"/>
    </row>
    <row r="6297" spans="2:2" x14ac:dyDescent="0.25">
      <c r="B6297" s="3"/>
    </row>
    <row r="6298" spans="2:2" x14ac:dyDescent="0.25">
      <c r="B6298" s="3"/>
    </row>
    <row r="6299" spans="2:2" x14ac:dyDescent="0.25">
      <c r="B6299" s="3"/>
    </row>
    <row r="6300" spans="2:2" x14ac:dyDescent="0.25">
      <c r="B6300" s="3"/>
    </row>
    <row r="6301" spans="2:2" x14ac:dyDescent="0.25">
      <c r="B6301" s="3"/>
    </row>
    <row r="6302" spans="2:2" x14ac:dyDescent="0.25">
      <c r="B6302" s="3"/>
    </row>
    <row r="6303" spans="2:2" x14ac:dyDescent="0.25">
      <c r="B6303" s="3"/>
    </row>
    <row r="6304" spans="2:2" x14ac:dyDescent="0.25">
      <c r="B6304" s="3"/>
    </row>
    <row r="6305" spans="2:2" x14ac:dyDescent="0.25">
      <c r="B6305" s="3"/>
    </row>
    <row r="6306" spans="2:2" x14ac:dyDescent="0.25">
      <c r="B6306" s="3"/>
    </row>
    <row r="6307" spans="2:2" x14ac:dyDescent="0.25">
      <c r="B6307" s="3"/>
    </row>
    <row r="6308" spans="2:2" x14ac:dyDescent="0.25">
      <c r="B6308" s="3"/>
    </row>
    <row r="6309" spans="2:2" x14ac:dyDescent="0.25">
      <c r="B6309" s="3"/>
    </row>
    <row r="6310" spans="2:2" x14ac:dyDescent="0.25">
      <c r="B6310" s="3"/>
    </row>
    <row r="6311" spans="2:2" x14ac:dyDescent="0.25">
      <c r="B6311" s="3"/>
    </row>
    <row r="6312" spans="2:2" x14ac:dyDescent="0.25">
      <c r="B6312" s="3"/>
    </row>
    <row r="6313" spans="2:2" x14ac:dyDescent="0.25">
      <c r="B6313" s="3"/>
    </row>
    <row r="6314" spans="2:2" x14ac:dyDescent="0.25">
      <c r="B6314" s="3"/>
    </row>
    <row r="6315" spans="2:2" x14ac:dyDescent="0.25">
      <c r="B6315" s="3"/>
    </row>
    <row r="6316" spans="2:2" x14ac:dyDescent="0.25">
      <c r="B6316" s="3"/>
    </row>
    <row r="6317" spans="2:2" x14ac:dyDescent="0.25">
      <c r="B6317" s="3"/>
    </row>
    <row r="6318" spans="2:2" x14ac:dyDescent="0.25">
      <c r="B6318" s="3"/>
    </row>
    <row r="6319" spans="2:2" x14ac:dyDescent="0.25">
      <c r="B6319" s="3"/>
    </row>
    <row r="6320" spans="2:2" x14ac:dyDescent="0.25">
      <c r="B6320" s="3"/>
    </row>
    <row r="6321" spans="2:2" x14ac:dyDescent="0.25">
      <c r="B6321" s="3"/>
    </row>
    <row r="6322" spans="2:2" x14ac:dyDescent="0.25">
      <c r="B6322" s="3"/>
    </row>
    <row r="6323" spans="2:2" x14ac:dyDescent="0.25">
      <c r="B6323" s="3"/>
    </row>
    <row r="6324" spans="2:2" x14ac:dyDescent="0.25">
      <c r="B6324" s="3"/>
    </row>
    <row r="6325" spans="2:2" x14ac:dyDescent="0.25">
      <c r="B6325" s="3"/>
    </row>
    <row r="6326" spans="2:2" x14ac:dyDescent="0.25">
      <c r="B6326" s="3"/>
    </row>
    <row r="6327" spans="2:2" x14ac:dyDescent="0.25">
      <c r="B6327" s="3"/>
    </row>
    <row r="6328" spans="2:2" x14ac:dyDescent="0.25">
      <c r="B6328" s="3"/>
    </row>
    <row r="6329" spans="2:2" x14ac:dyDescent="0.25">
      <c r="B6329" s="3"/>
    </row>
    <row r="6330" spans="2:2" x14ac:dyDescent="0.25">
      <c r="B6330" s="3"/>
    </row>
    <row r="6331" spans="2:2" x14ac:dyDescent="0.25">
      <c r="B6331" s="3"/>
    </row>
    <row r="6332" spans="2:2" x14ac:dyDescent="0.25">
      <c r="B6332" s="3"/>
    </row>
    <row r="6333" spans="2:2" x14ac:dyDescent="0.25">
      <c r="B6333" s="3"/>
    </row>
    <row r="6334" spans="2:2" x14ac:dyDescent="0.25">
      <c r="B6334" s="3"/>
    </row>
    <row r="6335" spans="2:2" x14ac:dyDescent="0.25">
      <c r="B6335" s="3"/>
    </row>
    <row r="6336" spans="2:2" x14ac:dyDescent="0.25">
      <c r="B6336" s="3"/>
    </row>
    <row r="6337" spans="2:2" x14ac:dyDescent="0.25">
      <c r="B6337" s="3"/>
    </row>
    <row r="6338" spans="2:2" x14ac:dyDescent="0.25">
      <c r="B6338" s="3"/>
    </row>
    <row r="6339" spans="2:2" x14ac:dyDescent="0.25">
      <c r="B6339" s="3"/>
    </row>
    <row r="6340" spans="2:2" x14ac:dyDescent="0.25">
      <c r="B6340" s="3"/>
    </row>
    <row r="6341" spans="2:2" x14ac:dyDescent="0.25">
      <c r="B6341" s="3"/>
    </row>
    <row r="6342" spans="2:2" x14ac:dyDescent="0.25">
      <c r="B6342" s="3"/>
    </row>
    <row r="6343" spans="2:2" x14ac:dyDescent="0.25">
      <c r="B6343" s="3"/>
    </row>
    <row r="6344" spans="2:2" x14ac:dyDescent="0.25">
      <c r="B6344" s="3"/>
    </row>
    <row r="6345" spans="2:2" x14ac:dyDescent="0.25">
      <c r="B6345" s="3"/>
    </row>
    <row r="6346" spans="2:2" x14ac:dyDescent="0.25">
      <c r="B6346" s="3"/>
    </row>
    <row r="6347" spans="2:2" x14ac:dyDescent="0.25">
      <c r="B6347" s="3"/>
    </row>
    <row r="6348" spans="2:2" x14ac:dyDescent="0.25">
      <c r="B6348" s="3"/>
    </row>
    <row r="6349" spans="2:2" x14ac:dyDescent="0.25">
      <c r="B6349" s="3"/>
    </row>
    <row r="6350" spans="2:2" x14ac:dyDescent="0.25">
      <c r="B6350" s="3"/>
    </row>
    <row r="6351" spans="2:2" x14ac:dyDescent="0.25">
      <c r="B6351" s="3"/>
    </row>
    <row r="6352" spans="2:2" x14ac:dyDescent="0.25">
      <c r="B6352" s="3"/>
    </row>
    <row r="6353" spans="2:2" x14ac:dyDescent="0.25">
      <c r="B6353" s="3"/>
    </row>
    <row r="6354" spans="2:2" x14ac:dyDescent="0.25">
      <c r="B6354" s="3"/>
    </row>
    <row r="6355" spans="2:2" x14ac:dyDescent="0.25">
      <c r="B6355" s="3"/>
    </row>
    <row r="6356" spans="2:2" x14ac:dyDescent="0.25">
      <c r="B6356" s="3"/>
    </row>
    <row r="6357" spans="2:2" x14ac:dyDescent="0.25">
      <c r="B6357" s="3"/>
    </row>
    <row r="6358" spans="2:2" x14ac:dyDescent="0.25">
      <c r="B6358" s="3"/>
    </row>
    <row r="6359" spans="2:2" x14ac:dyDescent="0.25">
      <c r="B6359" s="3"/>
    </row>
    <row r="6360" spans="2:2" x14ac:dyDescent="0.25">
      <c r="B6360" s="3"/>
    </row>
    <row r="6361" spans="2:2" x14ac:dyDescent="0.25">
      <c r="B6361" s="3"/>
    </row>
    <row r="6362" spans="2:2" x14ac:dyDescent="0.25">
      <c r="B6362" s="3"/>
    </row>
    <row r="6363" spans="2:2" x14ac:dyDescent="0.25">
      <c r="B6363" s="3"/>
    </row>
    <row r="6364" spans="2:2" x14ac:dyDescent="0.25">
      <c r="B6364" s="3"/>
    </row>
    <row r="6365" spans="2:2" x14ac:dyDescent="0.25">
      <c r="B6365" s="3"/>
    </row>
    <row r="6366" spans="2:2" x14ac:dyDescent="0.25">
      <c r="B6366" s="3"/>
    </row>
    <row r="6367" spans="2:2" x14ac:dyDescent="0.25">
      <c r="B6367" s="3"/>
    </row>
    <row r="6368" spans="2:2" x14ac:dyDescent="0.25">
      <c r="B6368" s="3"/>
    </row>
    <row r="6369" spans="2:2" x14ac:dyDescent="0.25">
      <c r="B6369" s="3"/>
    </row>
    <row r="6370" spans="2:2" x14ac:dyDescent="0.25">
      <c r="B6370" s="3"/>
    </row>
    <row r="6371" spans="2:2" x14ac:dyDescent="0.25">
      <c r="B6371" s="3"/>
    </row>
    <row r="6372" spans="2:2" x14ac:dyDescent="0.25">
      <c r="B6372" s="3"/>
    </row>
    <row r="6373" spans="2:2" x14ac:dyDescent="0.25">
      <c r="B6373" s="3"/>
    </row>
    <row r="6374" spans="2:2" x14ac:dyDescent="0.25">
      <c r="B6374" s="3"/>
    </row>
    <row r="6375" spans="2:2" x14ac:dyDescent="0.25">
      <c r="B6375" s="3"/>
    </row>
    <row r="6376" spans="2:2" x14ac:dyDescent="0.25">
      <c r="B6376" s="3"/>
    </row>
    <row r="6377" spans="2:2" x14ac:dyDescent="0.25">
      <c r="B6377" s="3"/>
    </row>
    <row r="6378" spans="2:2" x14ac:dyDescent="0.25">
      <c r="B6378" s="3"/>
    </row>
    <row r="6379" spans="2:2" x14ac:dyDescent="0.25">
      <c r="B6379" s="3"/>
    </row>
    <row r="6380" spans="2:2" x14ac:dyDescent="0.25">
      <c r="B6380" s="3"/>
    </row>
    <row r="6381" spans="2:2" x14ac:dyDescent="0.25">
      <c r="B6381" s="3"/>
    </row>
    <row r="6382" spans="2:2" x14ac:dyDescent="0.25">
      <c r="B6382" s="3"/>
    </row>
    <row r="6383" spans="2:2" x14ac:dyDescent="0.25">
      <c r="B6383" s="3"/>
    </row>
    <row r="6384" spans="2:2" x14ac:dyDescent="0.25">
      <c r="B6384" s="3"/>
    </row>
    <row r="6385" spans="2:2" x14ac:dyDescent="0.25">
      <c r="B6385" s="3"/>
    </row>
    <row r="6386" spans="2:2" x14ac:dyDescent="0.25">
      <c r="B6386" s="3"/>
    </row>
    <row r="6387" spans="2:2" x14ac:dyDescent="0.25">
      <c r="B6387" s="3"/>
    </row>
    <row r="6388" spans="2:2" x14ac:dyDescent="0.25">
      <c r="B6388" s="3"/>
    </row>
    <row r="6389" spans="2:2" x14ac:dyDescent="0.25">
      <c r="B6389" s="3"/>
    </row>
    <row r="6390" spans="2:2" x14ac:dyDescent="0.25">
      <c r="B6390" s="3"/>
    </row>
    <row r="6391" spans="2:2" x14ac:dyDescent="0.25">
      <c r="B6391" s="3"/>
    </row>
    <row r="6392" spans="2:2" x14ac:dyDescent="0.25">
      <c r="B6392" s="3"/>
    </row>
    <row r="6393" spans="2:2" x14ac:dyDescent="0.25">
      <c r="B6393" s="3"/>
    </row>
    <row r="6394" spans="2:2" x14ac:dyDescent="0.25">
      <c r="B6394" s="3"/>
    </row>
    <row r="6395" spans="2:2" x14ac:dyDescent="0.25">
      <c r="B6395" s="3"/>
    </row>
    <row r="6396" spans="2:2" x14ac:dyDescent="0.25">
      <c r="B6396" s="3"/>
    </row>
    <row r="6397" spans="2:2" x14ac:dyDescent="0.25">
      <c r="B6397" s="3"/>
    </row>
    <row r="6398" spans="2:2" x14ac:dyDescent="0.25">
      <c r="B6398" s="3"/>
    </row>
    <row r="6399" spans="2:2" x14ac:dyDescent="0.25">
      <c r="B6399" s="3"/>
    </row>
    <row r="6400" spans="2:2" x14ac:dyDescent="0.25">
      <c r="B6400" s="3"/>
    </row>
    <row r="6401" spans="2:2" x14ac:dyDescent="0.25">
      <c r="B6401" s="3"/>
    </row>
    <row r="6402" spans="2:2" x14ac:dyDescent="0.25">
      <c r="B6402" s="3"/>
    </row>
    <row r="6403" spans="2:2" x14ac:dyDescent="0.25">
      <c r="B6403" s="3"/>
    </row>
    <row r="6404" spans="2:2" x14ac:dyDescent="0.25">
      <c r="B6404" s="3"/>
    </row>
    <row r="6405" spans="2:2" x14ac:dyDescent="0.25">
      <c r="B6405" s="3"/>
    </row>
    <row r="6406" spans="2:2" x14ac:dyDescent="0.25">
      <c r="B6406" s="3"/>
    </row>
    <row r="6407" spans="2:2" x14ac:dyDescent="0.25">
      <c r="B6407" s="3"/>
    </row>
    <row r="6408" spans="2:2" x14ac:dyDescent="0.25">
      <c r="B6408" s="3"/>
    </row>
    <row r="6409" spans="2:2" x14ac:dyDescent="0.25">
      <c r="B6409" s="3"/>
    </row>
    <row r="6410" spans="2:2" x14ac:dyDescent="0.25">
      <c r="B6410" s="3"/>
    </row>
    <row r="6411" spans="2:2" x14ac:dyDescent="0.25">
      <c r="B6411" s="3"/>
    </row>
    <row r="6412" spans="2:2" x14ac:dyDescent="0.25">
      <c r="B6412" s="3"/>
    </row>
    <row r="6413" spans="2:2" x14ac:dyDescent="0.25">
      <c r="B6413" s="3"/>
    </row>
    <row r="6414" spans="2:2" x14ac:dyDescent="0.25">
      <c r="B6414" s="3"/>
    </row>
    <row r="6415" spans="2:2" x14ac:dyDescent="0.25">
      <c r="B6415" s="3"/>
    </row>
    <row r="6416" spans="2:2" x14ac:dyDescent="0.25">
      <c r="B6416" s="3"/>
    </row>
    <row r="6417" spans="2:2" x14ac:dyDescent="0.25">
      <c r="B6417" s="3"/>
    </row>
    <row r="6418" spans="2:2" x14ac:dyDescent="0.25">
      <c r="B6418" s="3"/>
    </row>
    <row r="6419" spans="2:2" x14ac:dyDescent="0.25">
      <c r="B6419" s="3"/>
    </row>
    <row r="6420" spans="2:2" x14ac:dyDescent="0.25">
      <c r="B6420" s="3"/>
    </row>
    <row r="6421" spans="2:2" x14ac:dyDescent="0.25">
      <c r="B6421" s="3"/>
    </row>
    <row r="6422" spans="2:2" x14ac:dyDescent="0.25">
      <c r="B6422" s="3"/>
    </row>
    <row r="6423" spans="2:2" x14ac:dyDescent="0.25">
      <c r="B6423" s="3"/>
    </row>
    <row r="6424" spans="2:2" x14ac:dyDescent="0.25">
      <c r="B6424" s="3"/>
    </row>
    <row r="6425" spans="2:2" x14ac:dyDescent="0.25">
      <c r="B6425" s="3"/>
    </row>
    <row r="6426" spans="2:2" x14ac:dyDescent="0.25">
      <c r="B6426" s="3"/>
    </row>
    <row r="6427" spans="2:2" x14ac:dyDescent="0.25">
      <c r="B6427" s="3"/>
    </row>
    <row r="6428" spans="2:2" x14ac:dyDescent="0.25">
      <c r="B6428" s="3"/>
    </row>
    <row r="6429" spans="2:2" x14ac:dyDescent="0.25">
      <c r="B6429" s="3"/>
    </row>
    <row r="6430" spans="2:2" x14ac:dyDescent="0.25">
      <c r="B6430" s="3"/>
    </row>
    <row r="6431" spans="2:2" x14ac:dyDescent="0.25">
      <c r="B6431" s="3"/>
    </row>
    <row r="6432" spans="2:2" x14ac:dyDescent="0.25">
      <c r="B6432" s="3"/>
    </row>
    <row r="6433" spans="2:2" x14ac:dyDescent="0.25">
      <c r="B6433" s="3"/>
    </row>
    <row r="6434" spans="2:2" x14ac:dyDescent="0.25">
      <c r="B6434" s="3"/>
    </row>
    <row r="6435" spans="2:2" x14ac:dyDescent="0.25">
      <c r="B6435" s="3"/>
    </row>
    <row r="6436" spans="2:2" x14ac:dyDescent="0.25">
      <c r="B6436" s="3"/>
    </row>
    <row r="6437" spans="2:2" x14ac:dyDescent="0.25">
      <c r="B6437" s="3"/>
    </row>
    <row r="6438" spans="2:2" x14ac:dyDescent="0.25">
      <c r="B6438" s="3"/>
    </row>
    <row r="6439" spans="2:2" x14ac:dyDescent="0.25">
      <c r="B6439" s="3"/>
    </row>
    <row r="6440" spans="2:2" x14ac:dyDescent="0.25">
      <c r="B6440" s="3"/>
    </row>
    <row r="6441" spans="2:2" x14ac:dyDescent="0.25">
      <c r="B6441" s="3"/>
    </row>
    <row r="6442" spans="2:2" x14ac:dyDescent="0.25">
      <c r="B6442" s="3"/>
    </row>
    <row r="6443" spans="2:2" x14ac:dyDescent="0.25">
      <c r="B6443" s="3"/>
    </row>
    <row r="6444" spans="2:2" x14ac:dyDescent="0.25">
      <c r="B6444" s="3"/>
    </row>
    <row r="6445" spans="2:2" x14ac:dyDescent="0.25">
      <c r="B6445" s="3"/>
    </row>
    <row r="6446" spans="2:2" x14ac:dyDescent="0.25">
      <c r="B6446" s="3"/>
    </row>
    <row r="6447" spans="2:2" x14ac:dyDescent="0.25">
      <c r="B6447" s="3"/>
    </row>
    <row r="6448" spans="2:2" x14ac:dyDescent="0.25">
      <c r="B6448" s="3"/>
    </row>
    <row r="6449" spans="2:2" x14ac:dyDescent="0.25">
      <c r="B6449" s="3"/>
    </row>
    <row r="6450" spans="2:2" x14ac:dyDescent="0.25">
      <c r="B6450" s="3"/>
    </row>
    <row r="6451" spans="2:2" x14ac:dyDescent="0.25">
      <c r="B6451" s="3"/>
    </row>
    <row r="6452" spans="2:2" x14ac:dyDescent="0.25">
      <c r="B6452" s="3"/>
    </row>
    <row r="6453" spans="2:2" x14ac:dyDescent="0.25">
      <c r="B6453" s="3"/>
    </row>
    <row r="6454" spans="2:2" x14ac:dyDescent="0.25">
      <c r="B6454" s="3"/>
    </row>
    <row r="6455" spans="2:2" x14ac:dyDescent="0.25">
      <c r="B6455" s="3"/>
    </row>
    <row r="6456" spans="2:2" x14ac:dyDescent="0.25">
      <c r="B6456" s="3"/>
    </row>
    <row r="6457" spans="2:2" x14ac:dyDescent="0.25">
      <c r="B6457" s="3"/>
    </row>
    <row r="6458" spans="2:2" x14ac:dyDescent="0.25">
      <c r="B6458" s="3"/>
    </row>
    <row r="6459" spans="2:2" x14ac:dyDescent="0.25">
      <c r="B6459" s="3"/>
    </row>
    <row r="6460" spans="2:2" x14ac:dyDescent="0.25">
      <c r="B6460" s="3"/>
    </row>
    <row r="6461" spans="2:2" x14ac:dyDescent="0.25">
      <c r="B6461" s="3"/>
    </row>
    <row r="6462" spans="2:2" x14ac:dyDescent="0.25">
      <c r="B6462" s="3"/>
    </row>
    <row r="6463" spans="2:2" x14ac:dyDescent="0.25">
      <c r="B6463" s="3"/>
    </row>
    <row r="6464" spans="2:2" x14ac:dyDescent="0.25">
      <c r="B6464" s="3"/>
    </row>
    <row r="6465" spans="2:2" x14ac:dyDescent="0.25">
      <c r="B6465" s="3"/>
    </row>
    <row r="6466" spans="2:2" x14ac:dyDescent="0.25">
      <c r="B6466" s="3"/>
    </row>
    <row r="6467" spans="2:2" x14ac:dyDescent="0.25">
      <c r="B6467" s="3"/>
    </row>
    <row r="6468" spans="2:2" x14ac:dyDescent="0.25">
      <c r="B6468" s="3"/>
    </row>
    <row r="6469" spans="2:2" x14ac:dyDescent="0.25">
      <c r="B6469" s="3"/>
    </row>
    <row r="6470" spans="2:2" x14ac:dyDescent="0.25">
      <c r="B6470" s="3"/>
    </row>
    <row r="6471" spans="2:2" x14ac:dyDescent="0.25">
      <c r="B6471" s="3"/>
    </row>
    <row r="6472" spans="2:2" x14ac:dyDescent="0.25">
      <c r="B6472" s="3"/>
    </row>
    <row r="6473" spans="2:2" x14ac:dyDescent="0.25">
      <c r="B6473" s="3"/>
    </row>
    <row r="6474" spans="2:2" x14ac:dyDescent="0.25">
      <c r="B6474" s="3"/>
    </row>
    <row r="6475" spans="2:2" x14ac:dyDescent="0.25">
      <c r="B6475" s="3"/>
    </row>
    <row r="6476" spans="2:2" x14ac:dyDescent="0.25">
      <c r="B6476" s="3"/>
    </row>
    <row r="6477" spans="2:2" x14ac:dyDescent="0.25">
      <c r="B6477" s="3"/>
    </row>
    <row r="6478" spans="2:2" x14ac:dyDescent="0.25">
      <c r="B6478" s="3"/>
    </row>
    <row r="6479" spans="2:2" x14ac:dyDescent="0.25">
      <c r="B6479" s="3"/>
    </row>
    <row r="6480" spans="2:2" x14ac:dyDescent="0.25">
      <c r="B6480" s="3"/>
    </row>
    <row r="6481" spans="2:2" x14ac:dyDescent="0.25">
      <c r="B6481" s="3"/>
    </row>
    <row r="6482" spans="2:2" x14ac:dyDescent="0.25">
      <c r="B6482" s="3"/>
    </row>
    <row r="6483" spans="2:2" x14ac:dyDescent="0.25">
      <c r="B6483" s="3"/>
    </row>
    <row r="6484" spans="2:2" x14ac:dyDescent="0.25">
      <c r="B6484" s="3"/>
    </row>
    <row r="6485" spans="2:2" x14ac:dyDescent="0.25">
      <c r="B6485" s="3"/>
    </row>
    <row r="6486" spans="2:2" x14ac:dyDescent="0.25">
      <c r="B6486" s="3"/>
    </row>
    <row r="6487" spans="2:2" x14ac:dyDescent="0.25">
      <c r="B6487" s="3"/>
    </row>
    <row r="6488" spans="2:2" x14ac:dyDescent="0.25">
      <c r="B6488" s="3"/>
    </row>
    <row r="6489" spans="2:2" x14ac:dyDescent="0.25">
      <c r="B6489" s="3"/>
    </row>
    <row r="6490" spans="2:2" x14ac:dyDescent="0.25">
      <c r="B6490" s="3"/>
    </row>
    <row r="6491" spans="2:2" x14ac:dyDescent="0.25">
      <c r="B6491" s="3"/>
    </row>
    <row r="6492" spans="2:2" x14ac:dyDescent="0.25">
      <c r="B6492" s="3"/>
    </row>
    <row r="6493" spans="2:2" x14ac:dyDescent="0.25">
      <c r="B6493" s="3"/>
    </row>
    <row r="6494" spans="2:2" x14ac:dyDescent="0.25">
      <c r="B6494" s="3"/>
    </row>
    <row r="6495" spans="2:2" x14ac:dyDescent="0.25">
      <c r="B6495" s="3"/>
    </row>
    <row r="6496" spans="2:2" x14ac:dyDescent="0.25">
      <c r="B6496" s="3"/>
    </row>
    <row r="6497" spans="2:2" x14ac:dyDescent="0.25">
      <c r="B6497" s="3"/>
    </row>
    <row r="6498" spans="2:2" x14ac:dyDescent="0.25">
      <c r="B6498" s="3"/>
    </row>
    <row r="6499" spans="2:2" x14ac:dyDescent="0.25">
      <c r="B6499" s="3"/>
    </row>
    <row r="6500" spans="2:2" x14ac:dyDescent="0.25">
      <c r="B6500" s="3"/>
    </row>
    <row r="6501" spans="2:2" x14ac:dyDescent="0.25">
      <c r="B6501" s="3"/>
    </row>
    <row r="6502" spans="2:2" x14ac:dyDescent="0.25">
      <c r="B6502" s="3"/>
    </row>
    <row r="6503" spans="2:2" x14ac:dyDescent="0.25">
      <c r="B6503" s="3"/>
    </row>
    <row r="6504" spans="2:2" x14ac:dyDescent="0.25">
      <c r="B6504" s="3"/>
    </row>
    <row r="6505" spans="2:2" x14ac:dyDescent="0.25">
      <c r="B6505" s="3"/>
    </row>
    <row r="6506" spans="2:2" x14ac:dyDescent="0.25">
      <c r="B6506" s="3"/>
    </row>
    <row r="6507" spans="2:2" x14ac:dyDescent="0.25">
      <c r="B6507" s="3"/>
    </row>
    <row r="6508" spans="2:2" x14ac:dyDescent="0.25">
      <c r="B6508" s="3"/>
    </row>
    <row r="6509" spans="2:2" x14ac:dyDescent="0.25">
      <c r="B6509" s="3"/>
    </row>
    <row r="6510" spans="2:2" x14ac:dyDescent="0.25">
      <c r="B6510" s="3"/>
    </row>
    <row r="6511" spans="2:2" x14ac:dyDescent="0.25">
      <c r="B6511" s="3"/>
    </row>
    <row r="6512" spans="2:2" x14ac:dyDescent="0.25">
      <c r="B6512" s="3"/>
    </row>
    <row r="6513" spans="2:2" x14ac:dyDescent="0.25">
      <c r="B6513" s="3"/>
    </row>
    <row r="6514" spans="2:2" x14ac:dyDescent="0.25">
      <c r="B6514" s="3"/>
    </row>
    <row r="6515" spans="2:2" x14ac:dyDescent="0.25">
      <c r="B6515" s="3"/>
    </row>
    <row r="6516" spans="2:2" x14ac:dyDescent="0.25">
      <c r="B6516" s="3"/>
    </row>
    <row r="6517" spans="2:2" x14ac:dyDescent="0.25">
      <c r="B6517" s="3"/>
    </row>
    <row r="6518" spans="2:2" x14ac:dyDescent="0.25">
      <c r="B6518" s="3"/>
    </row>
    <row r="6519" spans="2:2" x14ac:dyDescent="0.25">
      <c r="B6519" s="3"/>
    </row>
    <row r="6520" spans="2:2" x14ac:dyDescent="0.25">
      <c r="B6520" s="3"/>
    </row>
    <row r="6521" spans="2:2" x14ac:dyDescent="0.25">
      <c r="B6521" s="3"/>
    </row>
    <row r="6522" spans="2:2" x14ac:dyDescent="0.25">
      <c r="B6522" s="3"/>
    </row>
    <row r="6523" spans="2:2" x14ac:dyDescent="0.25">
      <c r="B6523" s="3"/>
    </row>
    <row r="6524" spans="2:2" x14ac:dyDescent="0.25">
      <c r="B6524" s="3"/>
    </row>
    <row r="6525" spans="2:2" x14ac:dyDescent="0.25">
      <c r="B6525" s="3"/>
    </row>
    <row r="6526" spans="2:2" x14ac:dyDescent="0.25">
      <c r="B6526" s="3"/>
    </row>
    <row r="6527" spans="2:2" x14ac:dyDescent="0.25">
      <c r="B6527" s="3"/>
    </row>
    <row r="6528" spans="2:2" x14ac:dyDescent="0.25">
      <c r="B6528" s="3"/>
    </row>
    <row r="6529" spans="2:2" x14ac:dyDescent="0.25">
      <c r="B6529" s="3"/>
    </row>
    <row r="6530" spans="2:2" x14ac:dyDescent="0.25">
      <c r="B6530" s="3"/>
    </row>
    <row r="6531" spans="2:2" x14ac:dyDescent="0.25">
      <c r="B6531" s="3"/>
    </row>
    <row r="6532" spans="2:2" x14ac:dyDescent="0.25">
      <c r="B6532" s="3"/>
    </row>
    <row r="6533" spans="2:2" x14ac:dyDescent="0.25">
      <c r="B6533" s="3"/>
    </row>
    <row r="6534" spans="2:2" x14ac:dyDescent="0.25">
      <c r="B6534" s="3"/>
    </row>
    <row r="6535" spans="2:2" x14ac:dyDescent="0.25">
      <c r="B6535" s="3"/>
    </row>
    <row r="6536" spans="2:2" x14ac:dyDescent="0.25">
      <c r="B6536" s="3"/>
    </row>
    <row r="6537" spans="2:2" x14ac:dyDescent="0.25">
      <c r="B6537" s="3"/>
    </row>
    <row r="6538" spans="2:2" x14ac:dyDescent="0.25">
      <c r="B6538" s="3"/>
    </row>
    <row r="6539" spans="2:2" x14ac:dyDescent="0.25">
      <c r="B6539" s="3"/>
    </row>
    <row r="6540" spans="2:2" x14ac:dyDescent="0.25">
      <c r="B6540" s="3"/>
    </row>
    <row r="6541" spans="2:2" x14ac:dyDescent="0.25">
      <c r="B6541" s="3"/>
    </row>
    <row r="6542" spans="2:2" x14ac:dyDescent="0.25">
      <c r="B6542" s="3"/>
    </row>
    <row r="6543" spans="2:2" x14ac:dyDescent="0.25">
      <c r="B6543" s="3"/>
    </row>
    <row r="6544" spans="2:2" x14ac:dyDescent="0.25">
      <c r="B6544" s="3"/>
    </row>
    <row r="6545" spans="2:2" x14ac:dyDescent="0.25">
      <c r="B6545" s="3"/>
    </row>
    <row r="6546" spans="2:2" x14ac:dyDescent="0.25">
      <c r="B6546" s="3"/>
    </row>
    <row r="6547" spans="2:2" x14ac:dyDescent="0.25">
      <c r="B6547" s="3"/>
    </row>
    <row r="6548" spans="2:2" x14ac:dyDescent="0.25">
      <c r="B6548" s="3"/>
    </row>
    <row r="6549" spans="2:2" x14ac:dyDescent="0.25">
      <c r="B6549" s="3"/>
    </row>
    <row r="6550" spans="2:2" x14ac:dyDescent="0.25">
      <c r="B6550" s="3"/>
    </row>
    <row r="6551" spans="2:2" x14ac:dyDescent="0.25">
      <c r="B6551" s="3"/>
    </row>
    <row r="6552" spans="2:2" x14ac:dyDescent="0.25">
      <c r="B6552" s="3"/>
    </row>
    <row r="6553" spans="2:2" x14ac:dyDescent="0.25">
      <c r="B6553" s="3"/>
    </row>
    <row r="6554" spans="2:2" x14ac:dyDescent="0.25">
      <c r="B6554" s="3"/>
    </row>
    <row r="6555" spans="2:2" x14ac:dyDescent="0.25">
      <c r="B6555" s="3"/>
    </row>
    <row r="6556" spans="2:2" x14ac:dyDescent="0.25">
      <c r="B6556" s="3"/>
    </row>
    <row r="6557" spans="2:2" x14ac:dyDescent="0.25">
      <c r="B6557" s="3"/>
    </row>
    <row r="6558" spans="2:2" x14ac:dyDescent="0.25">
      <c r="B6558" s="3"/>
    </row>
    <row r="6559" spans="2:2" x14ac:dyDescent="0.25">
      <c r="B6559" s="3"/>
    </row>
    <row r="6560" spans="2:2" x14ac:dyDescent="0.25">
      <c r="B6560" s="3"/>
    </row>
    <row r="6561" spans="2:2" x14ac:dyDescent="0.25">
      <c r="B6561" s="3"/>
    </row>
    <row r="6562" spans="2:2" x14ac:dyDescent="0.25">
      <c r="B6562" s="3"/>
    </row>
    <row r="6563" spans="2:2" x14ac:dyDescent="0.25">
      <c r="B6563" s="3"/>
    </row>
    <row r="6564" spans="2:2" x14ac:dyDescent="0.25">
      <c r="B6564" s="3"/>
    </row>
    <row r="6565" spans="2:2" x14ac:dyDescent="0.25">
      <c r="B6565" s="3"/>
    </row>
    <row r="6566" spans="2:2" x14ac:dyDescent="0.25">
      <c r="B6566" s="3"/>
    </row>
    <row r="6567" spans="2:2" x14ac:dyDescent="0.25">
      <c r="B6567" s="3"/>
    </row>
    <row r="6568" spans="2:2" x14ac:dyDescent="0.25">
      <c r="B6568" s="3"/>
    </row>
    <row r="6569" spans="2:2" x14ac:dyDescent="0.25">
      <c r="B6569" s="3"/>
    </row>
    <row r="6570" spans="2:2" x14ac:dyDescent="0.25">
      <c r="B6570" s="3"/>
    </row>
    <row r="6571" spans="2:2" x14ac:dyDescent="0.25">
      <c r="B6571" s="3"/>
    </row>
    <row r="6572" spans="2:2" x14ac:dyDescent="0.25">
      <c r="B6572" s="3"/>
    </row>
    <row r="6573" spans="2:2" x14ac:dyDescent="0.25">
      <c r="B6573" s="3"/>
    </row>
    <row r="6574" spans="2:2" x14ac:dyDescent="0.25">
      <c r="B6574" s="3"/>
    </row>
    <row r="6575" spans="2:2" x14ac:dyDescent="0.25">
      <c r="B6575" s="3"/>
    </row>
    <row r="6576" spans="2:2" x14ac:dyDescent="0.25">
      <c r="B6576" s="3"/>
    </row>
    <row r="6577" spans="2:2" x14ac:dyDescent="0.25">
      <c r="B6577" s="3"/>
    </row>
    <row r="6578" spans="2:2" x14ac:dyDescent="0.25">
      <c r="B6578" s="3"/>
    </row>
    <row r="6579" spans="2:2" x14ac:dyDescent="0.25">
      <c r="B6579" s="3"/>
    </row>
    <row r="6580" spans="2:2" x14ac:dyDescent="0.25">
      <c r="B6580" s="3"/>
    </row>
    <row r="6581" spans="2:2" x14ac:dyDescent="0.25">
      <c r="B6581" s="3"/>
    </row>
    <row r="6582" spans="2:2" x14ac:dyDescent="0.25">
      <c r="B6582" s="3"/>
    </row>
    <row r="6583" spans="2:2" x14ac:dyDescent="0.25">
      <c r="B6583" s="3"/>
    </row>
    <row r="6584" spans="2:2" x14ac:dyDescent="0.25">
      <c r="B6584" s="3"/>
    </row>
    <row r="6585" spans="2:2" x14ac:dyDescent="0.25">
      <c r="B6585" s="3"/>
    </row>
    <row r="6586" spans="2:2" x14ac:dyDescent="0.25">
      <c r="B6586" s="3"/>
    </row>
    <row r="6587" spans="2:2" x14ac:dyDescent="0.25">
      <c r="B6587" s="3"/>
    </row>
    <row r="6588" spans="2:2" x14ac:dyDescent="0.25">
      <c r="B6588" s="3"/>
    </row>
    <row r="6589" spans="2:2" x14ac:dyDescent="0.25">
      <c r="B6589" s="3"/>
    </row>
    <row r="6590" spans="2:2" x14ac:dyDescent="0.25">
      <c r="B6590" s="3"/>
    </row>
    <row r="6591" spans="2:2" x14ac:dyDescent="0.25">
      <c r="B6591" s="3"/>
    </row>
    <row r="6592" spans="2:2" x14ac:dyDescent="0.25">
      <c r="B6592" s="3"/>
    </row>
    <row r="6593" spans="2:2" x14ac:dyDescent="0.25">
      <c r="B6593" s="3"/>
    </row>
    <row r="6594" spans="2:2" x14ac:dyDescent="0.25">
      <c r="B6594" s="3"/>
    </row>
    <row r="6595" spans="2:2" x14ac:dyDescent="0.25">
      <c r="B6595" s="3"/>
    </row>
    <row r="6596" spans="2:2" x14ac:dyDescent="0.25">
      <c r="B6596" s="3"/>
    </row>
    <row r="6597" spans="2:2" x14ac:dyDescent="0.25">
      <c r="B6597" s="3"/>
    </row>
    <row r="6598" spans="2:2" x14ac:dyDescent="0.25">
      <c r="B6598" s="3"/>
    </row>
    <row r="6599" spans="2:2" x14ac:dyDescent="0.25">
      <c r="B6599" s="3"/>
    </row>
    <row r="6600" spans="2:2" x14ac:dyDescent="0.25">
      <c r="B6600" s="3"/>
    </row>
    <row r="6601" spans="2:2" x14ac:dyDescent="0.25">
      <c r="B6601" s="3"/>
    </row>
    <row r="6602" spans="2:2" x14ac:dyDescent="0.25">
      <c r="B6602" s="3"/>
    </row>
    <row r="6603" spans="2:2" x14ac:dyDescent="0.25">
      <c r="B6603" s="3"/>
    </row>
    <row r="6604" spans="2:2" x14ac:dyDescent="0.25">
      <c r="B6604" s="3"/>
    </row>
    <row r="6605" spans="2:2" x14ac:dyDescent="0.25">
      <c r="B6605" s="3"/>
    </row>
    <row r="6606" spans="2:2" x14ac:dyDescent="0.25">
      <c r="B6606" s="3"/>
    </row>
    <row r="6607" spans="2:2" x14ac:dyDescent="0.25">
      <c r="B6607" s="3"/>
    </row>
    <row r="6608" spans="2:2" x14ac:dyDescent="0.25">
      <c r="B6608" s="3"/>
    </row>
    <row r="6609" spans="2:2" x14ac:dyDescent="0.25">
      <c r="B6609" s="3"/>
    </row>
    <row r="6610" spans="2:2" x14ac:dyDescent="0.25">
      <c r="B6610" s="3"/>
    </row>
    <row r="6611" spans="2:2" x14ac:dyDescent="0.25">
      <c r="B6611" s="3"/>
    </row>
    <row r="6612" spans="2:2" x14ac:dyDescent="0.25">
      <c r="B6612" s="3"/>
    </row>
    <row r="6613" spans="2:2" x14ac:dyDescent="0.25">
      <c r="B6613" s="3"/>
    </row>
    <row r="6614" spans="2:2" x14ac:dyDescent="0.25">
      <c r="B6614" s="3"/>
    </row>
    <row r="6615" spans="2:2" x14ac:dyDescent="0.25">
      <c r="B6615" s="3"/>
    </row>
    <row r="6616" spans="2:2" x14ac:dyDescent="0.25">
      <c r="B6616" s="3"/>
    </row>
    <row r="6617" spans="2:2" x14ac:dyDescent="0.25">
      <c r="B6617" s="3"/>
    </row>
    <row r="6618" spans="2:2" x14ac:dyDescent="0.25">
      <c r="B6618" s="3"/>
    </row>
    <row r="6619" spans="2:2" x14ac:dyDescent="0.25">
      <c r="B6619" s="3"/>
    </row>
    <row r="6620" spans="2:2" x14ac:dyDescent="0.25">
      <c r="B6620" s="3"/>
    </row>
    <row r="6621" spans="2:2" x14ac:dyDescent="0.25">
      <c r="B6621" s="3"/>
    </row>
    <row r="6622" spans="2:2" x14ac:dyDescent="0.25">
      <c r="B6622" s="3"/>
    </row>
    <row r="6623" spans="2:2" x14ac:dyDescent="0.25">
      <c r="B6623" s="3"/>
    </row>
    <row r="6624" spans="2:2" x14ac:dyDescent="0.25">
      <c r="B6624" s="3"/>
    </row>
    <row r="6625" spans="2:2" x14ac:dyDescent="0.25">
      <c r="B6625" s="3"/>
    </row>
    <row r="6626" spans="2:2" x14ac:dyDescent="0.25">
      <c r="B6626" s="3"/>
    </row>
    <row r="6627" spans="2:2" x14ac:dyDescent="0.25">
      <c r="B6627" s="3"/>
    </row>
    <row r="6628" spans="2:2" x14ac:dyDescent="0.25">
      <c r="B6628" s="3"/>
    </row>
    <row r="6629" spans="2:2" x14ac:dyDescent="0.25">
      <c r="B6629" s="3"/>
    </row>
    <row r="6630" spans="2:2" x14ac:dyDescent="0.25">
      <c r="B6630" s="3"/>
    </row>
    <row r="6631" spans="2:2" x14ac:dyDescent="0.25">
      <c r="B6631" s="3"/>
    </row>
    <row r="6632" spans="2:2" x14ac:dyDescent="0.25">
      <c r="B6632" s="3"/>
    </row>
    <row r="6633" spans="2:2" x14ac:dyDescent="0.25">
      <c r="B6633" s="3"/>
    </row>
    <row r="6634" spans="2:2" x14ac:dyDescent="0.25">
      <c r="B6634" s="3"/>
    </row>
    <row r="6635" spans="2:2" x14ac:dyDescent="0.25">
      <c r="B6635" s="3"/>
    </row>
    <row r="6636" spans="2:2" x14ac:dyDescent="0.25">
      <c r="B6636" s="3"/>
    </row>
    <row r="6637" spans="2:2" x14ac:dyDescent="0.25">
      <c r="B6637" s="3"/>
    </row>
    <row r="6638" spans="2:2" x14ac:dyDescent="0.25">
      <c r="B6638" s="3"/>
    </row>
    <row r="6639" spans="2:2" x14ac:dyDescent="0.25">
      <c r="B6639" s="3"/>
    </row>
    <row r="6640" spans="2:2" x14ac:dyDescent="0.25">
      <c r="B6640" s="3"/>
    </row>
    <row r="6641" spans="2:2" x14ac:dyDescent="0.25">
      <c r="B6641" s="3"/>
    </row>
    <row r="6642" spans="2:2" x14ac:dyDescent="0.25">
      <c r="B6642" s="3"/>
    </row>
    <row r="6643" spans="2:2" x14ac:dyDescent="0.25">
      <c r="B6643" s="3"/>
    </row>
    <row r="6644" spans="2:2" x14ac:dyDescent="0.25">
      <c r="B6644" s="3"/>
    </row>
    <row r="6645" spans="2:2" x14ac:dyDescent="0.25">
      <c r="B6645" s="3"/>
    </row>
    <row r="6646" spans="2:2" x14ac:dyDescent="0.25">
      <c r="B6646" s="3"/>
    </row>
    <row r="6647" spans="2:2" x14ac:dyDescent="0.25">
      <c r="B6647" s="3"/>
    </row>
    <row r="6648" spans="2:2" x14ac:dyDescent="0.25">
      <c r="B6648" s="3"/>
    </row>
    <row r="6649" spans="2:2" x14ac:dyDescent="0.25">
      <c r="B6649" s="3"/>
    </row>
    <row r="6650" spans="2:2" x14ac:dyDescent="0.25">
      <c r="B6650" s="3"/>
    </row>
    <row r="6651" spans="2:2" x14ac:dyDescent="0.25">
      <c r="B6651" s="3"/>
    </row>
    <row r="6652" spans="2:2" x14ac:dyDescent="0.25">
      <c r="B6652" s="3"/>
    </row>
    <row r="6653" spans="2:2" x14ac:dyDescent="0.25">
      <c r="B6653" s="3"/>
    </row>
    <row r="6654" spans="2:2" x14ac:dyDescent="0.25">
      <c r="B6654" s="3"/>
    </row>
    <row r="6655" spans="2:2" x14ac:dyDescent="0.25">
      <c r="B6655" s="3"/>
    </row>
    <row r="6656" spans="2:2" x14ac:dyDescent="0.25">
      <c r="B6656" s="3"/>
    </row>
    <row r="6657" spans="2:2" x14ac:dyDescent="0.25">
      <c r="B6657" s="3"/>
    </row>
    <row r="6658" spans="2:2" x14ac:dyDescent="0.25">
      <c r="B6658" s="3"/>
    </row>
    <row r="6659" spans="2:2" x14ac:dyDescent="0.25">
      <c r="B6659" s="3"/>
    </row>
    <row r="6660" spans="2:2" x14ac:dyDescent="0.25">
      <c r="B6660" s="3"/>
    </row>
    <row r="6661" spans="2:2" x14ac:dyDescent="0.25">
      <c r="B6661" s="3"/>
    </row>
    <row r="6662" spans="2:2" x14ac:dyDescent="0.25">
      <c r="B6662" s="3"/>
    </row>
    <row r="6663" spans="2:2" x14ac:dyDescent="0.25">
      <c r="B6663" s="3"/>
    </row>
    <row r="6664" spans="2:2" x14ac:dyDescent="0.25">
      <c r="B6664" s="3"/>
    </row>
    <row r="6665" spans="2:2" x14ac:dyDescent="0.25">
      <c r="B6665" s="3"/>
    </row>
    <row r="6666" spans="2:2" x14ac:dyDescent="0.25">
      <c r="B6666" s="3"/>
    </row>
    <row r="6667" spans="2:2" x14ac:dyDescent="0.25">
      <c r="B6667" s="3"/>
    </row>
    <row r="6668" spans="2:2" x14ac:dyDescent="0.25">
      <c r="B6668" s="3"/>
    </row>
    <row r="6669" spans="2:2" x14ac:dyDescent="0.25">
      <c r="B6669" s="3"/>
    </row>
    <row r="6670" spans="2:2" x14ac:dyDescent="0.25">
      <c r="B6670" s="3"/>
    </row>
    <row r="6671" spans="2:2" x14ac:dyDescent="0.25">
      <c r="B6671" s="3"/>
    </row>
    <row r="6672" spans="2:2" x14ac:dyDescent="0.25">
      <c r="B6672" s="3"/>
    </row>
    <row r="6673" spans="2:2" x14ac:dyDescent="0.25">
      <c r="B6673" s="3"/>
    </row>
    <row r="6674" spans="2:2" x14ac:dyDescent="0.25">
      <c r="B6674" s="3"/>
    </row>
    <row r="6675" spans="2:2" x14ac:dyDescent="0.25">
      <c r="B6675" s="3"/>
    </row>
    <row r="6676" spans="2:2" x14ac:dyDescent="0.25">
      <c r="B6676" s="3"/>
    </row>
    <row r="6677" spans="2:2" x14ac:dyDescent="0.25">
      <c r="B6677" s="3"/>
    </row>
    <row r="6678" spans="2:2" x14ac:dyDescent="0.25">
      <c r="B6678" s="3"/>
    </row>
    <row r="6679" spans="2:2" x14ac:dyDescent="0.25">
      <c r="B6679" s="3"/>
    </row>
    <row r="6680" spans="2:2" x14ac:dyDescent="0.25">
      <c r="B6680" s="3"/>
    </row>
    <row r="6681" spans="2:2" x14ac:dyDescent="0.25">
      <c r="B6681" s="3"/>
    </row>
    <row r="6682" spans="2:2" x14ac:dyDescent="0.25">
      <c r="B6682" s="3"/>
    </row>
    <row r="6683" spans="2:2" x14ac:dyDescent="0.25">
      <c r="B6683" s="3"/>
    </row>
    <row r="6684" spans="2:2" x14ac:dyDescent="0.25">
      <c r="B6684" s="3"/>
    </row>
    <row r="6685" spans="2:2" x14ac:dyDescent="0.25">
      <c r="B6685" s="3"/>
    </row>
    <row r="6686" spans="2:2" x14ac:dyDescent="0.25">
      <c r="B6686" s="3"/>
    </row>
    <row r="6687" spans="2:2" x14ac:dyDescent="0.25">
      <c r="B6687" s="3"/>
    </row>
    <row r="6688" spans="2:2" x14ac:dyDescent="0.25">
      <c r="B6688" s="3"/>
    </row>
    <row r="6689" spans="2:2" x14ac:dyDescent="0.25">
      <c r="B6689" s="3"/>
    </row>
    <row r="6690" spans="2:2" x14ac:dyDescent="0.25">
      <c r="B6690" s="3"/>
    </row>
    <row r="6691" spans="2:2" x14ac:dyDescent="0.25">
      <c r="B6691" s="3"/>
    </row>
    <row r="6692" spans="2:2" x14ac:dyDescent="0.25">
      <c r="B6692" s="3"/>
    </row>
    <row r="6693" spans="2:2" x14ac:dyDescent="0.25">
      <c r="B6693" s="3"/>
    </row>
    <row r="6694" spans="2:2" x14ac:dyDescent="0.25">
      <c r="B6694" s="3"/>
    </row>
    <row r="6695" spans="2:2" x14ac:dyDescent="0.25">
      <c r="B6695" s="3"/>
    </row>
    <row r="6696" spans="2:2" x14ac:dyDescent="0.25">
      <c r="B6696" s="3"/>
    </row>
    <row r="6697" spans="2:2" x14ac:dyDescent="0.25">
      <c r="B6697" s="3"/>
    </row>
    <row r="6698" spans="2:2" x14ac:dyDescent="0.25">
      <c r="B6698" s="3"/>
    </row>
    <row r="6699" spans="2:2" x14ac:dyDescent="0.25">
      <c r="B6699" s="3"/>
    </row>
    <row r="6700" spans="2:2" x14ac:dyDescent="0.25">
      <c r="B6700" s="3"/>
    </row>
    <row r="6701" spans="2:2" x14ac:dyDescent="0.25">
      <c r="B6701" s="3"/>
    </row>
    <row r="6702" spans="2:2" x14ac:dyDescent="0.25">
      <c r="B6702" s="3"/>
    </row>
    <row r="6703" spans="2:2" x14ac:dyDescent="0.25">
      <c r="B6703" s="3"/>
    </row>
    <row r="6704" spans="2:2" x14ac:dyDescent="0.25">
      <c r="B6704" s="3"/>
    </row>
    <row r="6705" spans="2:2" x14ac:dyDescent="0.25">
      <c r="B6705" s="3"/>
    </row>
    <row r="6706" spans="2:2" x14ac:dyDescent="0.25">
      <c r="B6706" s="3"/>
    </row>
    <row r="6707" spans="2:2" x14ac:dyDescent="0.25">
      <c r="B6707" s="3"/>
    </row>
    <row r="6708" spans="2:2" x14ac:dyDescent="0.25">
      <c r="B6708" s="3"/>
    </row>
    <row r="6709" spans="2:2" x14ac:dyDescent="0.25">
      <c r="B6709" s="3"/>
    </row>
    <row r="6710" spans="2:2" x14ac:dyDescent="0.25">
      <c r="B6710" s="3"/>
    </row>
    <row r="6711" spans="2:2" x14ac:dyDescent="0.25">
      <c r="B6711" s="3"/>
    </row>
    <row r="6712" spans="2:2" x14ac:dyDescent="0.25">
      <c r="B6712" s="3"/>
    </row>
    <row r="6713" spans="2:2" x14ac:dyDescent="0.25">
      <c r="B6713" s="3"/>
    </row>
    <row r="6714" spans="2:2" x14ac:dyDescent="0.25">
      <c r="B6714" s="3"/>
    </row>
    <row r="6715" spans="2:2" x14ac:dyDescent="0.25">
      <c r="B6715" s="3"/>
    </row>
    <row r="6716" spans="2:2" x14ac:dyDescent="0.25">
      <c r="B6716" s="3"/>
    </row>
    <row r="6717" spans="2:2" x14ac:dyDescent="0.25">
      <c r="B6717" s="3"/>
    </row>
    <row r="6718" spans="2:2" x14ac:dyDescent="0.25">
      <c r="B6718" s="3"/>
    </row>
    <row r="6719" spans="2:2" x14ac:dyDescent="0.25">
      <c r="B6719" s="3"/>
    </row>
    <row r="6720" spans="2:2" x14ac:dyDescent="0.25">
      <c r="B6720" s="3"/>
    </row>
    <row r="6721" spans="2:2" x14ac:dyDescent="0.25">
      <c r="B6721" s="3"/>
    </row>
    <row r="6722" spans="2:2" x14ac:dyDescent="0.25">
      <c r="B6722" s="3"/>
    </row>
    <row r="6723" spans="2:2" x14ac:dyDescent="0.25">
      <c r="B6723" s="3"/>
    </row>
    <row r="6724" spans="2:2" x14ac:dyDescent="0.25">
      <c r="B6724" s="3"/>
    </row>
    <row r="6725" spans="2:2" x14ac:dyDescent="0.25">
      <c r="B6725" s="3"/>
    </row>
    <row r="6726" spans="2:2" x14ac:dyDescent="0.25">
      <c r="B6726" s="3"/>
    </row>
    <row r="6727" spans="2:2" x14ac:dyDescent="0.25">
      <c r="B6727" s="3"/>
    </row>
    <row r="6728" spans="2:2" x14ac:dyDescent="0.25">
      <c r="B6728" s="3"/>
    </row>
    <row r="6729" spans="2:2" x14ac:dyDescent="0.25">
      <c r="B6729" s="3"/>
    </row>
    <row r="6730" spans="2:2" x14ac:dyDescent="0.25">
      <c r="B6730" s="3"/>
    </row>
    <row r="6731" spans="2:2" x14ac:dyDescent="0.25">
      <c r="B6731" s="3"/>
    </row>
    <row r="6732" spans="2:2" x14ac:dyDescent="0.25">
      <c r="B6732" s="3"/>
    </row>
    <row r="6733" spans="2:2" x14ac:dyDescent="0.25">
      <c r="B6733" s="3"/>
    </row>
    <row r="6734" spans="2:2" x14ac:dyDescent="0.25">
      <c r="B6734" s="3"/>
    </row>
    <row r="6735" spans="2:2" x14ac:dyDescent="0.25">
      <c r="B6735" s="3"/>
    </row>
    <row r="6736" spans="2:2" x14ac:dyDescent="0.25">
      <c r="B6736" s="3"/>
    </row>
    <row r="6737" spans="2:2" x14ac:dyDescent="0.25">
      <c r="B6737" s="3"/>
    </row>
    <row r="6738" spans="2:2" x14ac:dyDescent="0.25">
      <c r="B6738" s="3"/>
    </row>
    <row r="6739" spans="2:2" x14ac:dyDescent="0.25">
      <c r="B6739" s="3"/>
    </row>
    <row r="6740" spans="2:2" x14ac:dyDescent="0.25">
      <c r="B6740" s="3"/>
    </row>
    <row r="6741" spans="2:2" x14ac:dyDescent="0.25">
      <c r="B6741" s="3"/>
    </row>
    <row r="6742" spans="2:2" x14ac:dyDescent="0.25">
      <c r="B6742" s="3"/>
    </row>
    <row r="6743" spans="2:2" x14ac:dyDescent="0.25">
      <c r="B6743" s="3"/>
    </row>
    <row r="6744" spans="2:2" x14ac:dyDescent="0.25">
      <c r="B6744" s="3"/>
    </row>
    <row r="6745" spans="2:2" x14ac:dyDescent="0.25">
      <c r="B6745" s="3"/>
    </row>
    <row r="6746" spans="2:2" x14ac:dyDescent="0.25">
      <c r="B6746" s="3"/>
    </row>
    <row r="6747" spans="2:2" x14ac:dyDescent="0.25">
      <c r="B6747" s="3"/>
    </row>
    <row r="6748" spans="2:2" x14ac:dyDescent="0.25">
      <c r="B6748" s="3"/>
    </row>
    <row r="6749" spans="2:2" x14ac:dyDescent="0.25">
      <c r="B6749" s="3"/>
    </row>
    <row r="6750" spans="2:2" x14ac:dyDescent="0.25">
      <c r="B6750" s="3"/>
    </row>
    <row r="6751" spans="2:2" x14ac:dyDescent="0.25">
      <c r="B6751" s="3"/>
    </row>
    <row r="6752" spans="2:2" x14ac:dyDescent="0.25">
      <c r="B6752" s="3"/>
    </row>
    <row r="6753" spans="2:2" x14ac:dyDescent="0.25">
      <c r="B6753" s="3"/>
    </row>
    <row r="6754" spans="2:2" x14ac:dyDescent="0.25">
      <c r="B6754" s="3"/>
    </row>
    <row r="6755" spans="2:2" x14ac:dyDescent="0.25">
      <c r="B6755" s="3"/>
    </row>
    <row r="6756" spans="2:2" x14ac:dyDescent="0.25">
      <c r="B6756" s="3"/>
    </row>
    <row r="6757" spans="2:2" x14ac:dyDescent="0.25">
      <c r="B6757" s="3"/>
    </row>
    <row r="6758" spans="2:2" x14ac:dyDescent="0.25">
      <c r="B6758" s="3"/>
    </row>
    <row r="6759" spans="2:2" x14ac:dyDescent="0.25">
      <c r="B6759" s="3"/>
    </row>
    <row r="6760" spans="2:2" x14ac:dyDescent="0.25">
      <c r="B6760" s="3"/>
    </row>
    <row r="6761" spans="2:2" x14ac:dyDescent="0.25">
      <c r="B6761" s="3"/>
    </row>
    <row r="6762" spans="2:2" x14ac:dyDescent="0.25">
      <c r="B6762" s="3"/>
    </row>
    <row r="6763" spans="2:2" x14ac:dyDescent="0.25">
      <c r="B6763" s="3"/>
    </row>
    <row r="6764" spans="2:2" x14ac:dyDescent="0.25">
      <c r="B6764" s="3"/>
    </row>
    <row r="6765" spans="2:2" x14ac:dyDescent="0.25">
      <c r="B6765" s="3"/>
    </row>
    <row r="6766" spans="2:2" x14ac:dyDescent="0.25">
      <c r="B6766" s="3"/>
    </row>
    <row r="6767" spans="2:2" x14ac:dyDescent="0.25">
      <c r="B6767" s="3"/>
    </row>
    <row r="6768" spans="2:2" x14ac:dyDescent="0.25">
      <c r="B6768" s="3"/>
    </row>
    <row r="6769" spans="2:2" x14ac:dyDescent="0.25">
      <c r="B6769" s="3"/>
    </row>
    <row r="6770" spans="2:2" x14ac:dyDescent="0.25">
      <c r="B6770" s="3"/>
    </row>
    <row r="6771" spans="2:2" x14ac:dyDescent="0.25">
      <c r="B6771" s="3"/>
    </row>
    <row r="6772" spans="2:2" x14ac:dyDescent="0.25">
      <c r="B6772" s="3"/>
    </row>
    <row r="6773" spans="2:2" x14ac:dyDescent="0.25">
      <c r="B6773" s="3"/>
    </row>
    <row r="6774" spans="2:2" x14ac:dyDescent="0.25">
      <c r="B6774" s="3"/>
    </row>
    <row r="6775" spans="2:2" x14ac:dyDescent="0.25">
      <c r="B6775" s="3"/>
    </row>
    <row r="6776" spans="2:2" x14ac:dyDescent="0.25">
      <c r="B6776" s="3"/>
    </row>
    <row r="6777" spans="2:2" x14ac:dyDescent="0.25">
      <c r="B6777" s="3"/>
    </row>
    <row r="6778" spans="2:2" x14ac:dyDescent="0.25">
      <c r="B6778" s="3"/>
    </row>
    <row r="6779" spans="2:2" x14ac:dyDescent="0.25">
      <c r="B6779" s="3"/>
    </row>
    <row r="6780" spans="2:2" x14ac:dyDescent="0.25">
      <c r="B6780" s="3"/>
    </row>
    <row r="6781" spans="2:2" x14ac:dyDescent="0.25">
      <c r="B6781" s="3"/>
    </row>
    <row r="6782" spans="2:2" x14ac:dyDescent="0.25">
      <c r="B6782" s="3"/>
    </row>
    <row r="6783" spans="2:2" x14ac:dyDescent="0.25">
      <c r="B6783" s="3"/>
    </row>
    <row r="6784" spans="2:2" x14ac:dyDescent="0.25">
      <c r="B6784" s="3"/>
    </row>
    <row r="6785" spans="2:2" x14ac:dyDescent="0.25">
      <c r="B6785" s="3"/>
    </row>
    <row r="6786" spans="2:2" x14ac:dyDescent="0.25">
      <c r="B6786" s="3"/>
    </row>
    <row r="6787" spans="2:2" x14ac:dyDescent="0.25">
      <c r="B6787" s="3"/>
    </row>
    <row r="6788" spans="2:2" x14ac:dyDescent="0.25">
      <c r="B6788" s="3"/>
    </row>
    <row r="6789" spans="2:2" x14ac:dyDescent="0.25">
      <c r="B6789" s="3"/>
    </row>
    <row r="6790" spans="2:2" x14ac:dyDescent="0.25">
      <c r="B6790" s="3"/>
    </row>
    <row r="6791" spans="2:2" x14ac:dyDescent="0.25">
      <c r="B6791" s="3"/>
    </row>
    <row r="6792" spans="2:2" x14ac:dyDescent="0.25">
      <c r="B6792" s="3"/>
    </row>
    <row r="6793" spans="2:2" x14ac:dyDescent="0.25">
      <c r="B6793" s="3"/>
    </row>
    <row r="6794" spans="2:2" x14ac:dyDescent="0.25">
      <c r="B6794" s="3"/>
    </row>
    <row r="6795" spans="2:2" x14ac:dyDescent="0.25">
      <c r="B6795" s="3"/>
    </row>
    <row r="6796" spans="2:2" x14ac:dyDescent="0.25">
      <c r="B6796" s="3"/>
    </row>
    <row r="6797" spans="2:2" x14ac:dyDescent="0.25">
      <c r="B6797" s="3"/>
    </row>
    <row r="6798" spans="2:2" x14ac:dyDescent="0.25">
      <c r="B6798" s="3"/>
    </row>
    <row r="6799" spans="2:2" x14ac:dyDescent="0.25">
      <c r="B6799" s="3"/>
    </row>
    <row r="6800" spans="2:2" x14ac:dyDescent="0.25">
      <c r="B6800" s="3"/>
    </row>
    <row r="6801" spans="2:2" x14ac:dyDescent="0.25">
      <c r="B6801" s="3"/>
    </row>
    <row r="6802" spans="2:2" x14ac:dyDescent="0.25">
      <c r="B6802" s="3"/>
    </row>
    <row r="6803" spans="2:2" x14ac:dyDescent="0.25">
      <c r="B6803" s="3"/>
    </row>
    <row r="6804" spans="2:2" x14ac:dyDescent="0.25">
      <c r="B6804" s="3"/>
    </row>
    <row r="6805" spans="2:2" x14ac:dyDescent="0.25">
      <c r="B6805" s="3"/>
    </row>
    <row r="6806" spans="2:2" x14ac:dyDescent="0.25">
      <c r="B6806" s="3"/>
    </row>
    <row r="6807" spans="2:2" x14ac:dyDescent="0.25">
      <c r="B6807" s="3"/>
    </row>
    <row r="6808" spans="2:2" x14ac:dyDescent="0.25">
      <c r="B6808" s="3"/>
    </row>
    <row r="6809" spans="2:2" x14ac:dyDescent="0.25">
      <c r="B6809" s="3"/>
    </row>
    <row r="6810" spans="2:2" x14ac:dyDescent="0.25">
      <c r="B6810" s="3"/>
    </row>
    <row r="6811" spans="2:2" x14ac:dyDescent="0.25">
      <c r="B6811" s="3"/>
    </row>
    <row r="6812" spans="2:2" x14ac:dyDescent="0.25">
      <c r="B6812" s="3"/>
    </row>
    <row r="6813" spans="2:2" x14ac:dyDescent="0.25">
      <c r="B6813" s="3"/>
    </row>
    <row r="6814" spans="2:2" x14ac:dyDescent="0.25">
      <c r="B6814" s="3"/>
    </row>
    <row r="6815" spans="2:2" x14ac:dyDescent="0.25">
      <c r="B6815" s="3"/>
    </row>
    <row r="6816" spans="2:2" x14ac:dyDescent="0.25">
      <c r="B6816" s="3"/>
    </row>
    <row r="6817" spans="2:2" x14ac:dyDescent="0.25">
      <c r="B6817" s="3"/>
    </row>
    <row r="6818" spans="2:2" x14ac:dyDescent="0.25">
      <c r="B6818" s="3"/>
    </row>
    <row r="6819" spans="2:2" x14ac:dyDescent="0.25">
      <c r="B6819" s="3"/>
    </row>
    <row r="6820" spans="2:2" x14ac:dyDescent="0.25">
      <c r="B6820" s="3"/>
    </row>
    <row r="6821" spans="2:2" x14ac:dyDescent="0.25">
      <c r="B6821" s="3"/>
    </row>
    <row r="6822" spans="2:2" x14ac:dyDescent="0.25">
      <c r="B6822" s="3"/>
    </row>
    <row r="6823" spans="2:2" x14ac:dyDescent="0.25">
      <c r="B6823" s="3"/>
    </row>
    <row r="6824" spans="2:2" x14ac:dyDescent="0.25">
      <c r="B6824" s="3"/>
    </row>
    <row r="6825" spans="2:2" x14ac:dyDescent="0.25">
      <c r="B6825" s="3"/>
    </row>
    <row r="6826" spans="2:2" x14ac:dyDescent="0.25">
      <c r="B6826" s="3"/>
    </row>
    <row r="6827" spans="2:2" x14ac:dyDescent="0.25">
      <c r="B6827" s="3"/>
    </row>
    <row r="6828" spans="2:2" x14ac:dyDescent="0.25">
      <c r="B6828" s="3"/>
    </row>
    <row r="6829" spans="2:2" x14ac:dyDescent="0.25">
      <c r="B6829" s="3"/>
    </row>
    <row r="6830" spans="2:2" x14ac:dyDescent="0.25">
      <c r="B6830" s="3"/>
    </row>
    <row r="6831" spans="2:2" x14ac:dyDescent="0.25">
      <c r="B6831" s="3"/>
    </row>
    <row r="6832" spans="2:2" x14ac:dyDescent="0.25">
      <c r="B6832" s="3"/>
    </row>
    <row r="6833" spans="2:2" x14ac:dyDescent="0.25">
      <c r="B6833" s="3"/>
    </row>
    <row r="6834" spans="2:2" x14ac:dyDescent="0.25">
      <c r="B6834" s="3"/>
    </row>
    <row r="6835" spans="2:2" x14ac:dyDescent="0.25">
      <c r="B6835" s="3"/>
    </row>
    <row r="6836" spans="2:2" x14ac:dyDescent="0.25">
      <c r="B6836" s="3"/>
    </row>
    <row r="6837" spans="2:2" x14ac:dyDescent="0.25">
      <c r="B6837" s="3"/>
    </row>
    <row r="6838" spans="2:2" x14ac:dyDescent="0.25">
      <c r="B6838" s="3"/>
    </row>
    <row r="6839" spans="2:2" x14ac:dyDescent="0.25">
      <c r="B6839" s="3"/>
    </row>
    <row r="6840" spans="2:2" x14ac:dyDescent="0.25">
      <c r="B6840" s="3"/>
    </row>
    <row r="6841" spans="2:2" x14ac:dyDescent="0.25">
      <c r="B6841" s="3"/>
    </row>
    <row r="6842" spans="2:2" x14ac:dyDescent="0.25">
      <c r="B6842" s="3"/>
    </row>
    <row r="6843" spans="2:2" x14ac:dyDescent="0.25">
      <c r="B6843" s="3"/>
    </row>
    <row r="6844" spans="2:2" x14ac:dyDescent="0.25">
      <c r="B6844" s="3"/>
    </row>
    <row r="6845" spans="2:2" x14ac:dyDescent="0.25">
      <c r="B6845" s="3"/>
    </row>
    <row r="6846" spans="2:2" x14ac:dyDescent="0.25">
      <c r="B6846" s="3"/>
    </row>
    <row r="6847" spans="2:2" x14ac:dyDescent="0.25">
      <c r="B6847" s="3"/>
    </row>
    <row r="6848" spans="2:2" x14ac:dyDescent="0.25">
      <c r="B6848" s="3"/>
    </row>
    <row r="6849" spans="2:2" x14ac:dyDescent="0.25">
      <c r="B6849" s="3"/>
    </row>
    <row r="6850" spans="2:2" x14ac:dyDescent="0.25">
      <c r="B6850" s="3"/>
    </row>
    <row r="6851" spans="2:2" x14ac:dyDescent="0.25">
      <c r="B6851" s="3"/>
    </row>
    <row r="6852" spans="2:2" x14ac:dyDescent="0.25">
      <c r="B6852" s="3"/>
    </row>
    <row r="6853" spans="2:2" x14ac:dyDescent="0.25">
      <c r="B6853" s="3"/>
    </row>
    <row r="6854" spans="2:2" x14ac:dyDescent="0.25">
      <c r="B6854" s="3"/>
    </row>
    <row r="6855" spans="2:2" x14ac:dyDescent="0.25">
      <c r="B6855" s="3"/>
    </row>
    <row r="6856" spans="2:2" x14ac:dyDescent="0.25">
      <c r="B6856" s="3"/>
    </row>
    <row r="6857" spans="2:2" x14ac:dyDescent="0.25">
      <c r="B6857" s="3"/>
    </row>
    <row r="6858" spans="2:2" x14ac:dyDescent="0.25">
      <c r="B6858" s="3"/>
    </row>
    <row r="6859" spans="2:2" x14ac:dyDescent="0.25">
      <c r="B6859" s="3"/>
    </row>
    <row r="6860" spans="2:2" x14ac:dyDescent="0.25">
      <c r="B6860" s="3"/>
    </row>
    <row r="6861" spans="2:2" x14ac:dyDescent="0.25">
      <c r="B6861" s="3"/>
    </row>
    <row r="6862" spans="2:2" x14ac:dyDescent="0.25">
      <c r="B6862" s="3"/>
    </row>
    <row r="6863" spans="2:2" x14ac:dyDescent="0.25">
      <c r="B6863" s="3"/>
    </row>
    <row r="6864" spans="2:2" x14ac:dyDescent="0.25">
      <c r="B6864" s="3"/>
    </row>
    <row r="6865" spans="2:2" x14ac:dyDescent="0.25">
      <c r="B6865" s="3"/>
    </row>
    <row r="6866" spans="2:2" x14ac:dyDescent="0.25">
      <c r="B6866" s="3"/>
    </row>
    <row r="6867" spans="2:2" x14ac:dyDescent="0.25">
      <c r="B6867" s="3"/>
    </row>
    <row r="6868" spans="2:2" x14ac:dyDescent="0.25">
      <c r="B6868" s="3"/>
    </row>
    <row r="6869" spans="2:2" x14ac:dyDescent="0.25">
      <c r="B6869" s="3"/>
    </row>
    <row r="6870" spans="2:2" x14ac:dyDescent="0.25">
      <c r="B6870" s="3"/>
    </row>
    <row r="6871" spans="2:2" x14ac:dyDescent="0.25">
      <c r="B6871" s="3"/>
    </row>
    <row r="6872" spans="2:2" x14ac:dyDescent="0.25">
      <c r="B6872" s="3"/>
    </row>
    <row r="6873" spans="2:2" x14ac:dyDescent="0.25">
      <c r="B6873" s="3"/>
    </row>
    <row r="6874" spans="2:2" x14ac:dyDescent="0.25">
      <c r="B6874" s="3"/>
    </row>
    <row r="6875" spans="2:2" x14ac:dyDescent="0.25">
      <c r="B6875" s="3"/>
    </row>
    <row r="6876" spans="2:2" x14ac:dyDescent="0.25">
      <c r="B6876" s="3"/>
    </row>
    <row r="6877" spans="2:2" x14ac:dyDescent="0.25">
      <c r="B6877" s="3"/>
    </row>
    <row r="6878" spans="2:2" x14ac:dyDescent="0.25">
      <c r="B6878" s="3"/>
    </row>
    <row r="6879" spans="2:2" x14ac:dyDescent="0.25">
      <c r="B6879" s="3"/>
    </row>
    <row r="6880" spans="2:2" x14ac:dyDescent="0.25">
      <c r="B6880" s="3"/>
    </row>
    <row r="6881" spans="2:2" x14ac:dyDescent="0.25">
      <c r="B6881" s="3"/>
    </row>
    <row r="6882" spans="2:2" x14ac:dyDescent="0.25">
      <c r="B6882" s="3"/>
    </row>
    <row r="6883" spans="2:2" x14ac:dyDescent="0.25">
      <c r="B6883" s="3"/>
    </row>
    <row r="6884" spans="2:2" x14ac:dyDescent="0.25">
      <c r="B6884" s="3"/>
    </row>
    <row r="6885" spans="2:2" x14ac:dyDescent="0.25">
      <c r="B6885" s="3"/>
    </row>
    <row r="6886" spans="2:2" x14ac:dyDescent="0.25">
      <c r="B6886" s="3"/>
    </row>
    <row r="6887" spans="2:2" x14ac:dyDescent="0.25">
      <c r="B6887" s="3"/>
    </row>
    <row r="6888" spans="2:2" x14ac:dyDescent="0.25">
      <c r="B6888" s="3"/>
    </row>
    <row r="6889" spans="2:2" x14ac:dyDescent="0.25">
      <c r="B6889" s="3"/>
    </row>
    <row r="6890" spans="2:2" x14ac:dyDescent="0.25">
      <c r="B6890" s="3"/>
    </row>
    <row r="6891" spans="2:2" x14ac:dyDescent="0.25">
      <c r="B6891" s="3"/>
    </row>
    <row r="6892" spans="2:2" x14ac:dyDescent="0.25">
      <c r="B6892" s="3"/>
    </row>
    <row r="6893" spans="2:2" x14ac:dyDescent="0.25">
      <c r="B6893" s="3"/>
    </row>
    <row r="6894" spans="2:2" x14ac:dyDescent="0.25">
      <c r="B6894" s="3"/>
    </row>
    <row r="6895" spans="2:2" x14ac:dyDescent="0.25">
      <c r="B6895" s="3"/>
    </row>
    <row r="6896" spans="2:2" x14ac:dyDescent="0.25">
      <c r="B6896" s="3"/>
    </row>
    <row r="6897" spans="2:2" x14ac:dyDescent="0.25">
      <c r="B6897" s="3"/>
    </row>
    <row r="6898" spans="2:2" x14ac:dyDescent="0.25">
      <c r="B6898" s="3"/>
    </row>
    <row r="6899" spans="2:2" x14ac:dyDescent="0.25">
      <c r="B6899" s="3"/>
    </row>
    <row r="6900" spans="2:2" x14ac:dyDescent="0.25">
      <c r="B6900" s="3"/>
    </row>
    <row r="6901" spans="2:2" x14ac:dyDescent="0.25">
      <c r="B6901" s="3"/>
    </row>
    <row r="6902" spans="2:2" x14ac:dyDescent="0.25">
      <c r="B6902" s="3"/>
    </row>
    <row r="6903" spans="2:2" x14ac:dyDescent="0.25">
      <c r="B6903" s="3"/>
    </row>
    <row r="6904" spans="2:2" x14ac:dyDescent="0.25">
      <c r="B6904" s="3"/>
    </row>
    <row r="6905" spans="2:2" x14ac:dyDescent="0.25">
      <c r="B6905" s="3"/>
    </row>
    <row r="6906" spans="2:2" x14ac:dyDescent="0.25">
      <c r="B6906" s="3"/>
    </row>
    <row r="6907" spans="2:2" x14ac:dyDescent="0.25">
      <c r="B6907" s="3"/>
    </row>
    <row r="6908" spans="2:2" x14ac:dyDescent="0.25">
      <c r="B6908" s="3"/>
    </row>
    <row r="6909" spans="2:2" x14ac:dyDescent="0.25">
      <c r="B6909" s="3"/>
    </row>
    <row r="6910" spans="2:2" x14ac:dyDescent="0.25">
      <c r="B6910" s="3"/>
    </row>
    <row r="6911" spans="2:2" x14ac:dyDescent="0.25">
      <c r="B6911" s="3"/>
    </row>
    <row r="6912" spans="2:2" x14ac:dyDescent="0.25">
      <c r="B6912" s="3"/>
    </row>
    <row r="6913" spans="2:2" x14ac:dyDescent="0.25">
      <c r="B6913" s="3"/>
    </row>
    <row r="6914" spans="2:2" x14ac:dyDescent="0.25">
      <c r="B6914" s="3"/>
    </row>
    <row r="6915" spans="2:2" x14ac:dyDescent="0.25">
      <c r="B6915" s="3"/>
    </row>
    <row r="6916" spans="2:2" x14ac:dyDescent="0.25">
      <c r="B6916" s="3"/>
    </row>
    <row r="6917" spans="2:2" x14ac:dyDescent="0.25">
      <c r="B6917" s="3"/>
    </row>
    <row r="6918" spans="2:2" x14ac:dyDescent="0.25">
      <c r="B6918" s="3"/>
    </row>
    <row r="6919" spans="2:2" x14ac:dyDescent="0.25">
      <c r="B6919" s="3"/>
    </row>
    <row r="6920" spans="2:2" x14ac:dyDescent="0.25">
      <c r="B6920" s="3"/>
    </row>
    <row r="6921" spans="2:2" x14ac:dyDescent="0.25">
      <c r="B6921" s="3"/>
    </row>
    <row r="6922" spans="2:2" x14ac:dyDescent="0.25">
      <c r="B6922" s="3"/>
    </row>
    <row r="6923" spans="2:2" x14ac:dyDescent="0.25">
      <c r="B6923" s="3"/>
    </row>
    <row r="6924" spans="2:2" x14ac:dyDescent="0.25">
      <c r="B6924" s="3"/>
    </row>
    <row r="6925" spans="2:2" x14ac:dyDescent="0.25">
      <c r="B6925" s="3"/>
    </row>
    <row r="6926" spans="2:2" x14ac:dyDescent="0.25">
      <c r="B6926" s="3"/>
    </row>
    <row r="6927" spans="2:2" x14ac:dyDescent="0.25">
      <c r="B6927" s="3"/>
    </row>
    <row r="6928" spans="2:2" x14ac:dyDescent="0.25">
      <c r="B6928" s="3"/>
    </row>
    <row r="6929" spans="2:2" x14ac:dyDescent="0.25">
      <c r="B6929" s="3"/>
    </row>
    <row r="6930" spans="2:2" x14ac:dyDescent="0.25">
      <c r="B6930" s="3"/>
    </row>
    <row r="6931" spans="2:2" x14ac:dyDescent="0.25">
      <c r="B6931" s="3"/>
    </row>
    <row r="6932" spans="2:2" x14ac:dyDescent="0.25">
      <c r="B6932" s="3"/>
    </row>
    <row r="6933" spans="2:2" x14ac:dyDescent="0.25">
      <c r="B6933" s="3"/>
    </row>
    <row r="6934" spans="2:2" x14ac:dyDescent="0.25">
      <c r="B6934" s="3"/>
    </row>
    <row r="6935" spans="2:2" x14ac:dyDescent="0.25">
      <c r="B6935" s="3"/>
    </row>
    <row r="6936" spans="2:2" x14ac:dyDescent="0.25">
      <c r="B6936" s="3"/>
    </row>
    <row r="6937" spans="2:2" x14ac:dyDescent="0.25">
      <c r="B6937" s="3"/>
    </row>
    <row r="6938" spans="2:2" x14ac:dyDescent="0.25">
      <c r="B6938" s="3"/>
    </row>
    <row r="6939" spans="2:2" x14ac:dyDescent="0.25">
      <c r="B6939" s="3"/>
    </row>
    <row r="6940" spans="2:2" x14ac:dyDescent="0.25">
      <c r="B6940" s="3"/>
    </row>
    <row r="6941" spans="2:2" x14ac:dyDescent="0.25">
      <c r="B6941" s="3"/>
    </row>
    <row r="6942" spans="2:2" x14ac:dyDescent="0.25">
      <c r="B6942" s="3"/>
    </row>
    <row r="6943" spans="2:2" x14ac:dyDescent="0.25">
      <c r="B6943" s="3"/>
    </row>
    <row r="6944" spans="2:2" x14ac:dyDescent="0.25">
      <c r="B6944" s="3"/>
    </row>
    <row r="6945" spans="2:2" x14ac:dyDescent="0.25">
      <c r="B6945" s="3"/>
    </row>
    <row r="6946" spans="2:2" x14ac:dyDescent="0.25">
      <c r="B6946" s="3"/>
    </row>
    <row r="6947" spans="2:2" x14ac:dyDescent="0.25">
      <c r="B6947" s="3"/>
    </row>
    <row r="6948" spans="2:2" x14ac:dyDescent="0.25">
      <c r="B6948" s="3"/>
    </row>
    <row r="6949" spans="2:2" x14ac:dyDescent="0.25">
      <c r="B6949" s="3"/>
    </row>
    <row r="6950" spans="2:2" x14ac:dyDescent="0.25">
      <c r="B6950" s="3"/>
    </row>
    <row r="6951" spans="2:2" x14ac:dyDescent="0.25">
      <c r="B6951" s="3"/>
    </row>
    <row r="6952" spans="2:2" x14ac:dyDescent="0.25">
      <c r="B6952" s="3"/>
    </row>
    <row r="6953" spans="2:2" x14ac:dyDescent="0.25">
      <c r="B6953" s="3"/>
    </row>
    <row r="6954" spans="2:2" x14ac:dyDescent="0.25">
      <c r="B6954" s="3"/>
    </row>
    <row r="6955" spans="2:2" x14ac:dyDescent="0.25">
      <c r="B6955" s="3"/>
    </row>
    <row r="6956" spans="2:2" x14ac:dyDescent="0.25">
      <c r="B6956" s="3"/>
    </row>
    <row r="6957" spans="2:2" x14ac:dyDescent="0.25">
      <c r="B6957" s="3"/>
    </row>
    <row r="6958" spans="2:2" x14ac:dyDescent="0.25">
      <c r="B6958" s="3"/>
    </row>
    <row r="6959" spans="2:2" x14ac:dyDescent="0.25">
      <c r="B6959" s="3"/>
    </row>
    <row r="6960" spans="2:2" x14ac:dyDescent="0.25">
      <c r="B6960" s="3"/>
    </row>
    <row r="6961" spans="2:2" x14ac:dyDescent="0.25">
      <c r="B6961" s="3"/>
    </row>
    <row r="6962" spans="2:2" x14ac:dyDescent="0.25">
      <c r="B6962" s="3"/>
    </row>
    <row r="6963" spans="2:2" x14ac:dyDescent="0.25">
      <c r="B6963" s="3"/>
    </row>
    <row r="6964" spans="2:2" x14ac:dyDescent="0.25">
      <c r="B6964" s="3"/>
    </row>
    <row r="6965" spans="2:2" x14ac:dyDescent="0.25">
      <c r="B6965" s="3"/>
    </row>
    <row r="6966" spans="2:2" x14ac:dyDescent="0.25">
      <c r="B6966" s="3"/>
    </row>
    <row r="6967" spans="2:2" x14ac:dyDescent="0.25">
      <c r="B6967" s="3"/>
    </row>
    <row r="6968" spans="2:2" x14ac:dyDescent="0.25">
      <c r="B6968" s="3"/>
    </row>
    <row r="6969" spans="2:2" x14ac:dyDescent="0.25">
      <c r="B6969" s="3"/>
    </row>
    <row r="6970" spans="2:2" x14ac:dyDescent="0.25">
      <c r="B6970" s="3"/>
    </row>
    <row r="6971" spans="2:2" x14ac:dyDescent="0.25">
      <c r="B6971" s="3"/>
    </row>
    <row r="6972" spans="2:2" x14ac:dyDescent="0.25">
      <c r="B6972" s="3"/>
    </row>
    <row r="6973" spans="2:2" x14ac:dyDescent="0.25">
      <c r="B6973" s="3"/>
    </row>
    <row r="6974" spans="2:2" x14ac:dyDescent="0.25">
      <c r="B6974" s="3"/>
    </row>
    <row r="6975" spans="2:2" x14ac:dyDescent="0.25">
      <c r="B6975" s="3"/>
    </row>
    <row r="6976" spans="2:2" x14ac:dyDescent="0.25">
      <c r="B6976" s="3"/>
    </row>
    <row r="6977" spans="2:2" x14ac:dyDescent="0.25">
      <c r="B6977" s="3"/>
    </row>
    <row r="6978" spans="2:2" x14ac:dyDescent="0.25">
      <c r="B6978" s="3"/>
    </row>
    <row r="6979" spans="2:2" x14ac:dyDescent="0.25">
      <c r="B6979" s="3"/>
    </row>
    <row r="6980" spans="2:2" x14ac:dyDescent="0.25">
      <c r="B6980" s="3"/>
    </row>
    <row r="6981" spans="2:2" x14ac:dyDescent="0.25">
      <c r="B6981" s="3"/>
    </row>
    <row r="6982" spans="2:2" x14ac:dyDescent="0.25">
      <c r="B6982" s="3"/>
    </row>
    <row r="6983" spans="2:2" x14ac:dyDescent="0.25">
      <c r="B6983" s="3"/>
    </row>
    <row r="6984" spans="2:2" x14ac:dyDescent="0.25">
      <c r="B6984" s="3"/>
    </row>
    <row r="6985" spans="2:2" x14ac:dyDescent="0.25">
      <c r="B6985" s="3"/>
    </row>
    <row r="6986" spans="2:2" x14ac:dyDescent="0.25">
      <c r="B6986" s="3"/>
    </row>
    <row r="6987" spans="2:2" x14ac:dyDescent="0.25">
      <c r="B6987" s="3"/>
    </row>
    <row r="6988" spans="2:2" x14ac:dyDescent="0.25">
      <c r="B6988" s="3"/>
    </row>
    <row r="6989" spans="2:2" x14ac:dyDescent="0.25">
      <c r="B6989" s="3"/>
    </row>
    <row r="6990" spans="2:2" x14ac:dyDescent="0.25">
      <c r="B6990" s="3"/>
    </row>
    <row r="6991" spans="2:2" x14ac:dyDescent="0.25">
      <c r="B6991" s="3"/>
    </row>
    <row r="6992" spans="2:2" x14ac:dyDescent="0.25">
      <c r="B6992" s="3"/>
    </row>
    <row r="6993" spans="2:2" x14ac:dyDescent="0.25">
      <c r="B6993" s="3"/>
    </row>
    <row r="6994" spans="2:2" x14ac:dyDescent="0.25">
      <c r="B6994" s="3"/>
    </row>
    <row r="6995" spans="2:2" x14ac:dyDescent="0.25">
      <c r="B6995" s="3"/>
    </row>
    <row r="6996" spans="2:2" x14ac:dyDescent="0.25">
      <c r="B6996" s="3"/>
    </row>
    <row r="6997" spans="2:2" x14ac:dyDescent="0.25">
      <c r="B6997" s="3"/>
    </row>
    <row r="6998" spans="2:2" x14ac:dyDescent="0.25">
      <c r="B6998" s="3"/>
    </row>
    <row r="6999" spans="2:2" x14ac:dyDescent="0.25">
      <c r="B6999" s="3"/>
    </row>
    <row r="7000" spans="2:2" x14ac:dyDescent="0.25">
      <c r="B7000" s="3"/>
    </row>
    <row r="7001" spans="2:2" x14ac:dyDescent="0.25">
      <c r="B7001" s="3"/>
    </row>
    <row r="7002" spans="2:2" x14ac:dyDescent="0.25">
      <c r="B7002" s="3"/>
    </row>
    <row r="7003" spans="2:2" x14ac:dyDescent="0.25">
      <c r="B7003" s="3"/>
    </row>
    <row r="7004" spans="2:2" x14ac:dyDescent="0.25">
      <c r="B7004" s="3"/>
    </row>
    <row r="7005" spans="2:2" x14ac:dyDescent="0.25">
      <c r="B7005" s="3"/>
    </row>
    <row r="7006" spans="2:2" x14ac:dyDescent="0.25">
      <c r="B7006" s="3"/>
    </row>
    <row r="7007" spans="2:2" x14ac:dyDescent="0.25">
      <c r="B7007" s="3"/>
    </row>
    <row r="7008" spans="2:2" x14ac:dyDescent="0.25">
      <c r="B7008" s="3"/>
    </row>
    <row r="7009" spans="2:2" x14ac:dyDescent="0.25">
      <c r="B7009" s="3"/>
    </row>
    <row r="7010" spans="2:2" x14ac:dyDescent="0.25">
      <c r="B7010" s="3"/>
    </row>
    <row r="7011" spans="2:2" x14ac:dyDescent="0.25">
      <c r="B7011" s="3"/>
    </row>
    <row r="7012" spans="2:2" x14ac:dyDescent="0.25">
      <c r="B7012" s="3"/>
    </row>
    <row r="7013" spans="2:2" x14ac:dyDescent="0.25">
      <c r="B7013" s="3"/>
    </row>
    <row r="7014" spans="2:2" x14ac:dyDescent="0.25">
      <c r="B7014" s="3"/>
    </row>
    <row r="7015" spans="2:2" x14ac:dyDescent="0.25">
      <c r="B7015" s="3"/>
    </row>
    <row r="7016" spans="2:2" x14ac:dyDescent="0.25">
      <c r="B7016" s="3"/>
    </row>
    <row r="7017" spans="2:2" x14ac:dyDescent="0.25">
      <c r="B7017" s="3"/>
    </row>
    <row r="7018" spans="2:2" x14ac:dyDescent="0.25">
      <c r="B7018" s="3"/>
    </row>
    <row r="7019" spans="2:2" x14ac:dyDescent="0.25">
      <c r="B7019" s="3"/>
    </row>
    <row r="7020" spans="2:2" x14ac:dyDescent="0.25">
      <c r="B7020" s="3"/>
    </row>
    <row r="7021" spans="2:2" x14ac:dyDescent="0.25">
      <c r="B7021" s="3"/>
    </row>
    <row r="7022" spans="2:2" x14ac:dyDescent="0.25">
      <c r="B7022" s="3"/>
    </row>
    <row r="7023" spans="2:2" x14ac:dyDescent="0.25">
      <c r="B7023" s="3"/>
    </row>
    <row r="7024" spans="2:2" x14ac:dyDescent="0.25">
      <c r="B7024" s="3"/>
    </row>
    <row r="7025" spans="2:2" x14ac:dyDescent="0.25">
      <c r="B7025" s="3"/>
    </row>
    <row r="7026" spans="2:2" x14ac:dyDescent="0.25">
      <c r="B7026" s="3"/>
    </row>
    <row r="7027" spans="2:2" x14ac:dyDescent="0.25">
      <c r="B7027" s="3"/>
    </row>
    <row r="7028" spans="2:2" x14ac:dyDescent="0.25">
      <c r="B7028" s="3"/>
    </row>
    <row r="7029" spans="2:2" x14ac:dyDescent="0.25">
      <c r="B7029" s="3"/>
    </row>
    <row r="7030" spans="2:2" x14ac:dyDescent="0.25">
      <c r="B7030" s="3"/>
    </row>
    <row r="7031" spans="2:2" x14ac:dyDescent="0.25">
      <c r="B7031" s="3"/>
    </row>
    <row r="7032" spans="2:2" x14ac:dyDescent="0.25">
      <c r="B7032" s="3"/>
    </row>
    <row r="7033" spans="2:2" x14ac:dyDescent="0.25">
      <c r="B7033" s="3"/>
    </row>
    <row r="7034" spans="2:2" x14ac:dyDescent="0.25">
      <c r="B7034" s="3"/>
    </row>
    <row r="7035" spans="2:2" x14ac:dyDescent="0.25">
      <c r="B7035" s="3"/>
    </row>
    <row r="7036" spans="2:2" x14ac:dyDescent="0.25">
      <c r="B7036" s="3"/>
    </row>
    <row r="7037" spans="2:2" x14ac:dyDescent="0.25">
      <c r="B7037" s="3"/>
    </row>
    <row r="7038" spans="2:2" x14ac:dyDescent="0.25">
      <c r="B7038" s="3"/>
    </row>
    <row r="7039" spans="2:2" x14ac:dyDescent="0.25">
      <c r="B7039" s="3"/>
    </row>
    <row r="7040" spans="2:2" x14ac:dyDescent="0.25">
      <c r="B7040" s="3"/>
    </row>
    <row r="7041" spans="2:2" x14ac:dyDescent="0.25">
      <c r="B7041" s="3"/>
    </row>
    <row r="7042" spans="2:2" x14ac:dyDescent="0.25">
      <c r="B7042" s="3"/>
    </row>
    <row r="7043" spans="2:2" x14ac:dyDescent="0.25">
      <c r="B7043" s="3"/>
    </row>
    <row r="7044" spans="2:2" x14ac:dyDescent="0.25">
      <c r="B7044" s="3"/>
    </row>
    <row r="7045" spans="2:2" x14ac:dyDescent="0.25">
      <c r="B7045" s="3"/>
    </row>
    <row r="7046" spans="2:2" x14ac:dyDescent="0.25">
      <c r="B7046" s="3"/>
    </row>
    <row r="7047" spans="2:2" x14ac:dyDescent="0.25">
      <c r="B7047" s="3"/>
    </row>
    <row r="7048" spans="2:2" x14ac:dyDescent="0.25">
      <c r="B7048" s="3"/>
    </row>
    <row r="7049" spans="2:2" x14ac:dyDescent="0.25">
      <c r="B7049" s="3"/>
    </row>
    <row r="7050" spans="2:2" x14ac:dyDescent="0.25">
      <c r="B7050" s="3"/>
    </row>
    <row r="7051" spans="2:2" x14ac:dyDescent="0.25">
      <c r="B7051" s="3"/>
    </row>
    <row r="7052" spans="2:2" x14ac:dyDescent="0.25">
      <c r="B7052" s="3"/>
    </row>
    <row r="7053" spans="2:2" x14ac:dyDescent="0.25">
      <c r="B7053" s="3"/>
    </row>
    <row r="7054" spans="2:2" x14ac:dyDescent="0.25">
      <c r="B7054" s="3"/>
    </row>
    <row r="7055" spans="2:2" x14ac:dyDescent="0.25">
      <c r="B7055" s="3"/>
    </row>
    <row r="7056" spans="2:2" x14ac:dyDescent="0.25">
      <c r="B7056" s="3"/>
    </row>
    <row r="7057" spans="2:2" x14ac:dyDescent="0.25">
      <c r="B7057" s="3"/>
    </row>
    <row r="7058" spans="2:2" x14ac:dyDescent="0.25">
      <c r="B7058" s="3"/>
    </row>
    <row r="7059" spans="2:2" x14ac:dyDescent="0.25">
      <c r="B7059" s="3"/>
    </row>
    <row r="7060" spans="2:2" x14ac:dyDescent="0.25">
      <c r="B7060" s="3"/>
    </row>
    <row r="7061" spans="2:2" x14ac:dyDescent="0.25">
      <c r="B7061" s="3"/>
    </row>
    <row r="7062" spans="2:2" x14ac:dyDescent="0.25">
      <c r="B7062" s="3"/>
    </row>
    <row r="7063" spans="2:2" x14ac:dyDescent="0.25">
      <c r="B7063" s="3"/>
    </row>
    <row r="7064" spans="2:2" x14ac:dyDescent="0.25">
      <c r="B7064" s="3"/>
    </row>
    <row r="7065" spans="2:2" x14ac:dyDescent="0.25">
      <c r="B7065" s="3"/>
    </row>
    <row r="7066" spans="2:2" x14ac:dyDescent="0.25">
      <c r="B7066" s="3"/>
    </row>
    <row r="7067" spans="2:2" x14ac:dyDescent="0.25">
      <c r="B7067" s="3"/>
    </row>
    <row r="7068" spans="2:2" x14ac:dyDescent="0.25">
      <c r="B7068" s="3"/>
    </row>
    <row r="7069" spans="2:2" x14ac:dyDescent="0.25">
      <c r="B7069" s="3"/>
    </row>
    <row r="7070" spans="2:2" x14ac:dyDescent="0.25">
      <c r="B7070" s="3"/>
    </row>
    <row r="7071" spans="2:2" x14ac:dyDescent="0.25">
      <c r="B7071" s="3"/>
    </row>
    <row r="7072" spans="2:2" x14ac:dyDescent="0.25">
      <c r="B7072" s="3"/>
    </row>
    <row r="7073" spans="2:2" x14ac:dyDescent="0.25">
      <c r="B7073" s="3"/>
    </row>
    <row r="7074" spans="2:2" x14ac:dyDescent="0.25">
      <c r="B7074" s="3"/>
    </row>
    <row r="7075" spans="2:2" x14ac:dyDescent="0.25">
      <c r="B7075" s="3"/>
    </row>
    <row r="7076" spans="2:2" x14ac:dyDescent="0.25">
      <c r="B7076" s="3"/>
    </row>
    <row r="7077" spans="2:2" x14ac:dyDescent="0.25">
      <c r="B7077" s="3"/>
    </row>
    <row r="7078" spans="2:2" x14ac:dyDescent="0.25">
      <c r="B7078" s="3"/>
    </row>
    <row r="7079" spans="2:2" x14ac:dyDescent="0.25">
      <c r="B7079" s="3"/>
    </row>
    <row r="7080" spans="2:2" x14ac:dyDescent="0.25">
      <c r="B7080" s="3"/>
    </row>
    <row r="7081" spans="2:2" x14ac:dyDescent="0.25">
      <c r="B7081" s="3"/>
    </row>
    <row r="7082" spans="2:2" x14ac:dyDescent="0.25">
      <c r="B7082" s="3"/>
    </row>
    <row r="7083" spans="2:2" x14ac:dyDescent="0.25">
      <c r="B7083" s="3"/>
    </row>
    <row r="7084" spans="2:2" x14ac:dyDescent="0.25">
      <c r="B7084" s="3"/>
    </row>
    <row r="7085" spans="2:2" x14ac:dyDescent="0.25">
      <c r="B7085" s="3"/>
    </row>
    <row r="7086" spans="2:2" x14ac:dyDescent="0.25">
      <c r="B7086" s="3"/>
    </row>
    <row r="7087" spans="2:2" x14ac:dyDescent="0.25">
      <c r="B7087" s="3"/>
    </row>
    <row r="7088" spans="2:2" x14ac:dyDescent="0.25">
      <c r="B7088" s="3"/>
    </row>
    <row r="7089" spans="2:2" x14ac:dyDescent="0.25">
      <c r="B7089" s="3"/>
    </row>
    <row r="7090" spans="2:2" x14ac:dyDescent="0.25">
      <c r="B7090" s="3"/>
    </row>
    <row r="7091" spans="2:2" x14ac:dyDescent="0.25">
      <c r="B7091" s="3"/>
    </row>
    <row r="7092" spans="2:2" x14ac:dyDescent="0.25">
      <c r="B7092" s="3"/>
    </row>
    <row r="7093" spans="2:2" x14ac:dyDescent="0.25">
      <c r="B7093" s="3"/>
    </row>
    <row r="7094" spans="2:2" x14ac:dyDescent="0.25">
      <c r="B7094" s="3"/>
    </row>
    <row r="7095" spans="2:2" x14ac:dyDescent="0.25">
      <c r="B7095" s="3"/>
    </row>
    <row r="7096" spans="2:2" x14ac:dyDescent="0.25">
      <c r="B7096" s="3"/>
    </row>
    <row r="7097" spans="2:2" x14ac:dyDescent="0.25">
      <c r="B7097" s="3"/>
    </row>
    <row r="7098" spans="2:2" x14ac:dyDescent="0.25">
      <c r="B7098" s="3"/>
    </row>
    <row r="7099" spans="2:2" x14ac:dyDescent="0.25">
      <c r="B7099" s="3"/>
    </row>
    <row r="7100" spans="2:2" x14ac:dyDescent="0.25">
      <c r="B7100" s="3"/>
    </row>
    <row r="7101" spans="2:2" x14ac:dyDescent="0.25">
      <c r="B7101" s="3"/>
    </row>
    <row r="7102" spans="2:2" x14ac:dyDescent="0.25">
      <c r="B7102" s="3"/>
    </row>
    <row r="7103" spans="2:2" x14ac:dyDescent="0.25">
      <c r="B7103" s="3"/>
    </row>
    <row r="7104" spans="2:2" x14ac:dyDescent="0.25">
      <c r="B7104" s="3"/>
    </row>
    <row r="7105" spans="2:2" x14ac:dyDescent="0.25">
      <c r="B7105" s="3"/>
    </row>
    <row r="7106" spans="2:2" x14ac:dyDescent="0.25">
      <c r="B7106" s="3"/>
    </row>
    <row r="7107" spans="2:2" x14ac:dyDescent="0.25">
      <c r="B7107" s="3"/>
    </row>
    <row r="7108" spans="2:2" x14ac:dyDescent="0.25">
      <c r="B7108" s="3"/>
    </row>
    <row r="7109" spans="2:2" x14ac:dyDescent="0.25">
      <c r="B7109" s="3"/>
    </row>
    <row r="7110" spans="2:2" x14ac:dyDescent="0.25">
      <c r="B7110" s="3"/>
    </row>
    <row r="7111" spans="2:2" x14ac:dyDescent="0.25">
      <c r="B7111" s="3"/>
    </row>
    <row r="7112" spans="2:2" x14ac:dyDescent="0.25">
      <c r="B7112" s="3"/>
    </row>
    <row r="7113" spans="2:2" x14ac:dyDescent="0.25">
      <c r="B7113" s="3"/>
    </row>
    <row r="7114" spans="2:2" x14ac:dyDescent="0.25">
      <c r="B7114" s="3"/>
    </row>
    <row r="7115" spans="2:2" x14ac:dyDescent="0.25">
      <c r="B7115" s="3"/>
    </row>
    <row r="7116" spans="2:2" x14ac:dyDescent="0.25">
      <c r="B7116" s="3"/>
    </row>
    <row r="7117" spans="2:2" x14ac:dyDescent="0.25">
      <c r="B7117" s="3"/>
    </row>
    <row r="7118" spans="2:2" x14ac:dyDescent="0.25">
      <c r="B7118" s="3"/>
    </row>
    <row r="7119" spans="2:2" x14ac:dyDescent="0.25">
      <c r="B7119" s="3"/>
    </row>
    <row r="7120" spans="2:2" x14ac:dyDescent="0.25">
      <c r="B7120" s="3"/>
    </row>
    <row r="7121" spans="2:2" x14ac:dyDescent="0.25">
      <c r="B7121" s="3"/>
    </row>
    <row r="7122" spans="2:2" x14ac:dyDescent="0.25">
      <c r="B7122" s="3"/>
    </row>
    <row r="7123" spans="2:2" x14ac:dyDescent="0.25">
      <c r="B7123" s="3"/>
    </row>
    <row r="7124" spans="2:2" x14ac:dyDescent="0.25">
      <c r="B7124" s="3"/>
    </row>
    <row r="7125" spans="2:2" x14ac:dyDescent="0.25">
      <c r="B7125" s="3"/>
    </row>
    <row r="7126" spans="2:2" x14ac:dyDescent="0.25">
      <c r="B7126" s="3"/>
    </row>
    <row r="7127" spans="2:2" x14ac:dyDescent="0.25">
      <c r="B7127" s="3"/>
    </row>
    <row r="7128" spans="2:2" x14ac:dyDescent="0.25">
      <c r="B7128" s="3"/>
    </row>
    <row r="7129" spans="2:2" x14ac:dyDescent="0.25">
      <c r="B7129" s="3"/>
    </row>
    <row r="7130" spans="2:2" x14ac:dyDescent="0.25">
      <c r="B7130" s="3"/>
    </row>
    <row r="7131" spans="2:2" x14ac:dyDescent="0.25">
      <c r="B7131" s="3"/>
    </row>
    <row r="7132" spans="2:2" x14ac:dyDescent="0.25">
      <c r="B7132" s="3"/>
    </row>
    <row r="7133" spans="2:2" x14ac:dyDescent="0.25">
      <c r="B7133" s="3"/>
    </row>
    <row r="7134" spans="2:2" x14ac:dyDescent="0.25">
      <c r="B7134" s="3"/>
    </row>
    <row r="7135" spans="2:2" x14ac:dyDescent="0.25">
      <c r="B7135" s="3"/>
    </row>
    <row r="7136" spans="2:2" x14ac:dyDescent="0.25">
      <c r="B7136" s="3"/>
    </row>
    <row r="7137" spans="2:2" x14ac:dyDescent="0.25">
      <c r="B7137" s="3"/>
    </row>
    <row r="7138" spans="2:2" x14ac:dyDescent="0.25">
      <c r="B7138" s="3"/>
    </row>
    <row r="7139" spans="2:2" x14ac:dyDescent="0.25">
      <c r="B7139" s="3"/>
    </row>
    <row r="7140" spans="2:2" x14ac:dyDescent="0.25">
      <c r="B7140" s="3"/>
    </row>
    <row r="7141" spans="2:2" x14ac:dyDescent="0.25">
      <c r="B7141" s="3"/>
    </row>
    <row r="7142" spans="2:2" x14ac:dyDescent="0.25">
      <c r="B7142" s="3"/>
    </row>
    <row r="7143" spans="2:2" x14ac:dyDescent="0.25">
      <c r="B7143" s="3"/>
    </row>
    <row r="7144" spans="2:2" x14ac:dyDescent="0.25">
      <c r="B7144" s="3"/>
    </row>
    <row r="7145" spans="2:2" x14ac:dyDescent="0.25">
      <c r="B7145" s="3"/>
    </row>
    <row r="7146" spans="2:2" x14ac:dyDescent="0.25">
      <c r="B7146" s="3"/>
    </row>
    <row r="7147" spans="2:2" x14ac:dyDescent="0.25">
      <c r="B7147" s="3"/>
    </row>
    <row r="7148" spans="2:2" x14ac:dyDescent="0.25">
      <c r="B7148" s="3"/>
    </row>
    <row r="7149" spans="2:2" x14ac:dyDescent="0.25">
      <c r="B7149" s="3"/>
    </row>
    <row r="7150" spans="2:2" x14ac:dyDescent="0.25">
      <c r="B7150" s="3"/>
    </row>
    <row r="7151" spans="2:2" x14ac:dyDescent="0.25">
      <c r="B7151" s="3"/>
    </row>
    <row r="7152" spans="2:2" x14ac:dyDescent="0.25">
      <c r="B7152" s="3"/>
    </row>
    <row r="7153" spans="2:2" x14ac:dyDescent="0.25">
      <c r="B7153" s="3"/>
    </row>
    <row r="7154" spans="2:2" x14ac:dyDescent="0.25">
      <c r="B7154" s="3"/>
    </row>
    <row r="7155" spans="2:2" x14ac:dyDescent="0.25">
      <c r="B7155" s="3"/>
    </row>
    <row r="7156" spans="2:2" x14ac:dyDescent="0.25">
      <c r="B7156" s="3"/>
    </row>
    <row r="7157" spans="2:2" x14ac:dyDescent="0.25">
      <c r="B7157" s="3"/>
    </row>
    <row r="7158" spans="2:2" x14ac:dyDescent="0.25">
      <c r="B7158" s="3"/>
    </row>
    <row r="7159" spans="2:2" x14ac:dyDescent="0.25">
      <c r="B7159" s="3"/>
    </row>
    <row r="7160" spans="2:2" x14ac:dyDescent="0.25">
      <c r="B7160" s="3"/>
    </row>
    <row r="7161" spans="2:2" x14ac:dyDescent="0.25">
      <c r="B7161" s="3"/>
    </row>
    <row r="7162" spans="2:2" x14ac:dyDescent="0.25">
      <c r="B7162" s="3"/>
    </row>
    <row r="7163" spans="2:2" x14ac:dyDescent="0.25">
      <c r="B7163" s="3"/>
    </row>
    <row r="7164" spans="2:2" x14ac:dyDescent="0.25">
      <c r="B7164" s="3"/>
    </row>
    <row r="7165" spans="2:2" x14ac:dyDescent="0.25">
      <c r="B7165" s="3"/>
    </row>
    <row r="7166" spans="2:2" x14ac:dyDescent="0.25">
      <c r="B7166" s="3"/>
    </row>
    <row r="7167" spans="2:2" x14ac:dyDescent="0.25">
      <c r="B7167" s="3"/>
    </row>
    <row r="7168" spans="2:2" x14ac:dyDescent="0.25">
      <c r="B7168" s="3"/>
    </row>
    <row r="7169" spans="2:2" x14ac:dyDescent="0.25">
      <c r="B7169" s="3"/>
    </row>
    <row r="7170" spans="2:2" x14ac:dyDescent="0.25">
      <c r="B7170" s="3"/>
    </row>
    <row r="7171" spans="2:2" x14ac:dyDescent="0.25">
      <c r="B7171" s="3"/>
    </row>
    <row r="7172" spans="2:2" x14ac:dyDescent="0.25">
      <c r="B7172" s="3"/>
    </row>
    <row r="7173" spans="2:2" x14ac:dyDescent="0.25">
      <c r="B7173" s="3"/>
    </row>
    <row r="7174" spans="2:2" x14ac:dyDescent="0.25">
      <c r="B7174" s="3"/>
    </row>
    <row r="7175" spans="2:2" x14ac:dyDescent="0.25">
      <c r="B7175" s="3"/>
    </row>
    <row r="7176" spans="2:2" x14ac:dyDescent="0.25">
      <c r="B7176" s="3"/>
    </row>
    <row r="7177" spans="2:2" x14ac:dyDescent="0.25">
      <c r="B7177" s="3"/>
    </row>
    <row r="7178" spans="2:2" x14ac:dyDescent="0.25">
      <c r="B7178" s="3"/>
    </row>
    <row r="7179" spans="2:2" x14ac:dyDescent="0.25">
      <c r="B7179" s="3"/>
    </row>
    <row r="7180" spans="2:2" x14ac:dyDescent="0.25">
      <c r="B7180" s="3"/>
    </row>
    <row r="7181" spans="2:2" x14ac:dyDescent="0.25">
      <c r="B7181" s="3"/>
    </row>
    <row r="7182" spans="2:2" x14ac:dyDescent="0.25">
      <c r="B7182" s="3"/>
    </row>
    <row r="7183" spans="2:2" x14ac:dyDescent="0.25">
      <c r="B7183" s="3"/>
    </row>
    <row r="7184" spans="2:2" x14ac:dyDescent="0.25">
      <c r="B7184" s="3"/>
    </row>
    <row r="7185" spans="2:2" x14ac:dyDescent="0.25">
      <c r="B7185" s="3"/>
    </row>
    <row r="7186" spans="2:2" x14ac:dyDescent="0.25">
      <c r="B7186" s="3"/>
    </row>
    <row r="7187" spans="2:2" x14ac:dyDescent="0.25">
      <c r="B7187" s="3"/>
    </row>
    <row r="7188" spans="2:2" x14ac:dyDescent="0.25">
      <c r="B7188" s="3"/>
    </row>
    <row r="7189" spans="2:2" x14ac:dyDescent="0.25">
      <c r="B7189" s="3"/>
    </row>
    <row r="7190" spans="2:2" x14ac:dyDescent="0.25">
      <c r="B7190" s="3"/>
    </row>
    <row r="7191" spans="2:2" x14ac:dyDescent="0.25">
      <c r="B7191" s="3"/>
    </row>
    <row r="7192" spans="2:2" x14ac:dyDescent="0.25">
      <c r="B7192" s="3"/>
    </row>
    <row r="7193" spans="2:2" x14ac:dyDescent="0.25">
      <c r="B7193" s="3"/>
    </row>
    <row r="7194" spans="2:2" x14ac:dyDescent="0.25">
      <c r="B7194" s="3"/>
    </row>
    <row r="7195" spans="2:2" x14ac:dyDescent="0.25">
      <c r="B7195" s="3"/>
    </row>
    <row r="7196" spans="2:2" x14ac:dyDescent="0.25">
      <c r="B7196" s="3"/>
    </row>
    <row r="7197" spans="2:2" x14ac:dyDescent="0.25">
      <c r="B7197" s="3"/>
    </row>
    <row r="7198" spans="2:2" x14ac:dyDescent="0.25">
      <c r="B7198" s="3"/>
    </row>
    <row r="7199" spans="2:2" x14ac:dyDescent="0.25">
      <c r="B7199" s="3"/>
    </row>
    <row r="7200" spans="2:2" x14ac:dyDescent="0.25">
      <c r="B7200" s="3"/>
    </row>
    <row r="7201" spans="2:2" x14ac:dyDescent="0.25">
      <c r="B7201" s="3"/>
    </row>
    <row r="7202" spans="2:2" x14ac:dyDescent="0.25">
      <c r="B7202" s="3"/>
    </row>
    <row r="7203" spans="2:2" x14ac:dyDescent="0.25">
      <c r="B7203" s="3"/>
    </row>
    <row r="7204" spans="2:2" x14ac:dyDescent="0.25">
      <c r="B7204" s="3"/>
    </row>
    <row r="7205" spans="2:2" x14ac:dyDescent="0.25">
      <c r="B7205" s="3"/>
    </row>
    <row r="7206" spans="2:2" x14ac:dyDescent="0.25">
      <c r="B7206" s="3"/>
    </row>
    <row r="7207" spans="2:2" x14ac:dyDescent="0.25">
      <c r="B7207" s="3"/>
    </row>
    <row r="7208" spans="2:2" x14ac:dyDescent="0.25">
      <c r="B7208" s="3"/>
    </row>
    <row r="7209" spans="2:2" x14ac:dyDescent="0.25">
      <c r="B7209" s="3"/>
    </row>
    <row r="7210" spans="2:2" x14ac:dyDescent="0.25">
      <c r="B7210" s="3"/>
    </row>
    <row r="7211" spans="2:2" x14ac:dyDescent="0.25">
      <c r="B7211" s="3"/>
    </row>
    <row r="7212" spans="2:2" x14ac:dyDescent="0.25">
      <c r="B7212" s="3"/>
    </row>
    <row r="7213" spans="2:2" x14ac:dyDescent="0.25">
      <c r="B7213" s="3"/>
    </row>
    <row r="7214" spans="2:2" x14ac:dyDescent="0.25">
      <c r="B7214" s="3"/>
    </row>
    <row r="7215" spans="2:2" x14ac:dyDescent="0.25">
      <c r="B7215" s="3"/>
    </row>
    <row r="7216" spans="2:2" x14ac:dyDescent="0.25">
      <c r="B7216" s="3"/>
    </row>
    <row r="7217" spans="2:2" x14ac:dyDescent="0.25">
      <c r="B7217" s="3"/>
    </row>
    <row r="7218" spans="2:2" x14ac:dyDescent="0.25">
      <c r="B7218" s="3"/>
    </row>
    <row r="7219" spans="2:2" x14ac:dyDescent="0.25">
      <c r="B7219" s="3"/>
    </row>
    <row r="7220" spans="2:2" x14ac:dyDescent="0.25">
      <c r="B7220" s="3"/>
    </row>
    <row r="7221" spans="2:2" x14ac:dyDescent="0.25">
      <c r="B7221" s="3"/>
    </row>
    <row r="7222" spans="2:2" x14ac:dyDescent="0.25">
      <c r="B7222" s="3"/>
    </row>
    <row r="7223" spans="2:2" x14ac:dyDescent="0.25">
      <c r="B7223" s="3"/>
    </row>
    <row r="7224" spans="2:2" x14ac:dyDescent="0.25">
      <c r="B7224" s="3"/>
    </row>
    <row r="7225" spans="2:2" x14ac:dyDescent="0.25">
      <c r="B7225" s="3"/>
    </row>
    <row r="7226" spans="2:2" x14ac:dyDescent="0.25">
      <c r="B7226" s="3"/>
    </row>
    <row r="7227" spans="2:2" x14ac:dyDescent="0.25">
      <c r="B7227" s="3"/>
    </row>
    <row r="7228" spans="2:2" x14ac:dyDescent="0.25">
      <c r="B7228" s="3"/>
    </row>
    <row r="7229" spans="2:2" x14ac:dyDescent="0.25">
      <c r="B7229" s="3"/>
    </row>
    <row r="7230" spans="2:2" x14ac:dyDescent="0.25">
      <c r="B7230" s="3"/>
    </row>
    <row r="7231" spans="2:2" x14ac:dyDescent="0.25">
      <c r="B7231" s="3"/>
    </row>
    <row r="7232" spans="2:2" x14ac:dyDescent="0.25">
      <c r="B7232" s="3"/>
    </row>
    <row r="7233" spans="2:2" x14ac:dyDescent="0.25">
      <c r="B7233" s="3"/>
    </row>
    <row r="7234" spans="2:2" x14ac:dyDescent="0.25">
      <c r="B7234" s="3"/>
    </row>
    <row r="7235" spans="2:2" x14ac:dyDescent="0.25">
      <c r="B7235" s="3"/>
    </row>
    <row r="7236" spans="2:2" x14ac:dyDescent="0.25">
      <c r="B7236" s="3"/>
    </row>
    <row r="7237" spans="2:2" x14ac:dyDescent="0.25">
      <c r="B7237" s="3"/>
    </row>
    <row r="7238" spans="2:2" x14ac:dyDescent="0.25">
      <c r="B7238" s="3"/>
    </row>
    <row r="7239" spans="2:2" x14ac:dyDescent="0.25">
      <c r="B7239" s="3"/>
    </row>
    <row r="7240" spans="2:2" x14ac:dyDescent="0.25">
      <c r="B7240" s="3"/>
    </row>
    <row r="7241" spans="2:2" x14ac:dyDescent="0.25">
      <c r="B7241" s="3"/>
    </row>
    <row r="7242" spans="2:2" x14ac:dyDescent="0.25">
      <c r="B7242" s="3"/>
    </row>
    <row r="7243" spans="2:2" x14ac:dyDescent="0.25">
      <c r="B7243" s="3"/>
    </row>
    <row r="7244" spans="2:2" x14ac:dyDescent="0.25">
      <c r="B7244" s="3"/>
    </row>
    <row r="7245" spans="2:2" x14ac:dyDescent="0.25">
      <c r="B7245" s="3"/>
    </row>
    <row r="7246" spans="2:2" x14ac:dyDescent="0.25">
      <c r="B7246" s="3"/>
    </row>
    <row r="7247" spans="2:2" x14ac:dyDescent="0.25">
      <c r="B7247" s="3"/>
    </row>
    <row r="7248" spans="2:2" x14ac:dyDescent="0.25">
      <c r="B7248" s="3"/>
    </row>
    <row r="7249" spans="2:2" x14ac:dyDescent="0.25">
      <c r="B7249" s="3"/>
    </row>
    <row r="7250" spans="2:2" x14ac:dyDescent="0.25">
      <c r="B7250" s="3"/>
    </row>
    <row r="7251" spans="2:2" x14ac:dyDescent="0.25">
      <c r="B7251" s="3"/>
    </row>
    <row r="7252" spans="2:2" x14ac:dyDescent="0.25">
      <c r="B7252" s="3"/>
    </row>
    <row r="7253" spans="2:2" x14ac:dyDescent="0.25">
      <c r="B7253" s="3"/>
    </row>
    <row r="7254" spans="2:2" x14ac:dyDescent="0.25">
      <c r="B7254" s="3"/>
    </row>
    <row r="7255" spans="2:2" x14ac:dyDescent="0.25">
      <c r="B7255" s="3"/>
    </row>
    <row r="7256" spans="2:2" x14ac:dyDescent="0.25">
      <c r="B7256" s="3"/>
    </row>
    <row r="7257" spans="2:2" x14ac:dyDescent="0.25">
      <c r="B7257" s="3"/>
    </row>
    <row r="7258" spans="2:2" x14ac:dyDescent="0.25">
      <c r="B7258" s="3"/>
    </row>
    <row r="7259" spans="2:2" x14ac:dyDescent="0.25">
      <c r="B7259" s="3"/>
    </row>
    <row r="7260" spans="2:2" x14ac:dyDescent="0.25">
      <c r="B7260" s="3"/>
    </row>
    <row r="7261" spans="2:2" x14ac:dyDescent="0.25">
      <c r="B7261" s="3"/>
    </row>
    <row r="7262" spans="2:2" x14ac:dyDescent="0.25">
      <c r="B7262" s="3"/>
    </row>
    <row r="7263" spans="2:2" x14ac:dyDescent="0.25">
      <c r="B7263" s="3"/>
    </row>
    <row r="7264" spans="2:2" x14ac:dyDescent="0.25">
      <c r="B7264" s="3"/>
    </row>
    <row r="7265" spans="2:2" x14ac:dyDescent="0.25">
      <c r="B7265" s="3"/>
    </row>
    <row r="7266" spans="2:2" x14ac:dyDescent="0.25">
      <c r="B7266" s="3"/>
    </row>
    <row r="7267" spans="2:2" x14ac:dyDescent="0.25">
      <c r="B7267" s="3"/>
    </row>
    <row r="7268" spans="2:2" x14ac:dyDescent="0.25">
      <c r="B7268" s="3"/>
    </row>
    <row r="7269" spans="2:2" x14ac:dyDescent="0.25">
      <c r="B7269" s="3"/>
    </row>
    <row r="7270" spans="2:2" x14ac:dyDescent="0.25">
      <c r="B7270" s="3"/>
    </row>
    <row r="7271" spans="2:2" x14ac:dyDescent="0.25">
      <c r="B7271" s="3"/>
    </row>
    <row r="7272" spans="2:2" x14ac:dyDescent="0.25">
      <c r="B7272" s="3"/>
    </row>
    <row r="7273" spans="2:2" x14ac:dyDescent="0.25">
      <c r="B7273" s="3"/>
    </row>
    <row r="7274" spans="2:2" x14ac:dyDescent="0.25">
      <c r="B7274" s="3"/>
    </row>
    <row r="7275" spans="2:2" x14ac:dyDescent="0.25">
      <c r="B7275" s="3"/>
    </row>
    <row r="7276" spans="2:2" x14ac:dyDescent="0.25">
      <c r="B7276" s="3"/>
    </row>
    <row r="7277" spans="2:2" x14ac:dyDescent="0.25">
      <c r="B7277" s="3"/>
    </row>
    <row r="7278" spans="2:2" x14ac:dyDescent="0.25">
      <c r="B7278" s="3"/>
    </row>
    <row r="7279" spans="2:2" x14ac:dyDescent="0.25">
      <c r="B7279" s="3"/>
    </row>
    <row r="7280" spans="2:2" x14ac:dyDescent="0.25">
      <c r="B7280" s="3"/>
    </row>
    <row r="7281" spans="2:2" x14ac:dyDescent="0.25">
      <c r="B7281" s="3"/>
    </row>
    <row r="7282" spans="2:2" x14ac:dyDescent="0.25">
      <c r="B7282" s="3"/>
    </row>
    <row r="7283" spans="2:2" x14ac:dyDescent="0.25">
      <c r="B7283" s="3"/>
    </row>
    <row r="7284" spans="2:2" x14ac:dyDescent="0.25">
      <c r="B7284" s="3"/>
    </row>
    <row r="7285" spans="2:2" x14ac:dyDescent="0.25">
      <c r="B7285" s="3"/>
    </row>
    <row r="7286" spans="2:2" x14ac:dyDescent="0.25">
      <c r="B7286" s="3"/>
    </row>
    <row r="7287" spans="2:2" x14ac:dyDescent="0.25">
      <c r="B7287" s="3"/>
    </row>
    <row r="7288" spans="2:2" x14ac:dyDescent="0.25">
      <c r="B7288" s="3"/>
    </row>
    <row r="7289" spans="2:2" x14ac:dyDescent="0.25">
      <c r="B7289" s="3"/>
    </row>
    <row r="7290" spans="2:2" x14ac:dyDescent="0.25">
      <c r="B7290" s="3"/>
    </row>
    <row r="7291" spans="2:2" x14ac:dyDescent="0.25">
      <c r="B7291" s="3"/>
    </row>
    <row r="7292" spans="2:2" x14ac:dyDescent="0.25">
      <c r="B7292" s="3"/>
    </row>
    <row r="7293" spans="2:2" x14ac:dyDescent="0.25">
      <c r="B7293" s="3"/>
    </row>
    <row r="7294" spans="2:2" x14ac:dyDescent="0.25">
      <c r="B7294" s="3"/>
    </row>
    <row r="7295" spans="2:2" x14ac:dyDescent="0.25">
      <c r="B7295" s="3"/>
    </row>
    <row r="7296" spans="2:2" x14ac:dyDescent="0.25">
      <c r="B7296" s="3"/>
    </row>
    <row r="7297" spans="2:2" x14ac:dyDescent="0.25">
      <c r="B7297" s="3"/>
    </row>
    <row r="7298" spans="2:2" x14ac:dyDescent="0.25">
      <c r="B7298" s="3"/>
    </row>
    <row r="7299" spans="2:2" x14ac:dyDescent="0.25">
      <c r="B7299" s="3"/>
    </row>
    <row r="7300" spans="2:2" x14ac:dyDescent="0.25">
      <c r="B7300" s="3"/>
    </row>
    <row r="7301" spans="2:2" x14ac:dyDescent="0.25">
      <c r="B7301" s="3"/>
    </row>
    <row r="7302" spans="2:2" x14ac:dyDescent="0.25">
      <c r="B7302" s="3"/>
    </row>
    <row r="7303" spans="2:2" x14ac:dyDescent="0.25">
      <c r="B7303" s="3"/>
    </row>
    <row r="7304" spans="2:2" x14ac:dyDescent="0.25">
      <c r="B7304" s="3"/>
    </row>
    <row r="7305" spans="2:2" x14ac:dyDescent="0.25">
      <c r="B7305" s="3"/>
    </row>
    <row r="7306" spans="2:2" x14ac:dyDescent="0.25">
      <c r="B7306" s="3"/>
    </row>
    <row r="7307" spans="2:2" x14ac:dyDescent="0.25">
      <c r="B7307" s="3"/>
    </row>
    <row r="7308" spans="2:2" x14ac:dyDescent="0.25">
      <c r="B7308" s="3"/>
    </row>
    <row r="7309" spans="2:2" x14ac:dyDescent="0.25">
      <c r="B7309" s="3"/>
    </row>
    <row r="7310" spans="2:2" x14ac:dyDescent="0.25">
      <c r="B7310" s="3"/>
    </row>
    <row r="7311" spans="2:2" x14ac:dyDescent="0.25">
      <c r="B7311" s="3"/>
    </row>
    <row r="7312" spans="2:2" x14ac:dyDescent="0.25">
      <c r="B7312" s="3"/>
    </row>
    <row r="7313" spans="2:2" x14ac:dyDescent="0.25">
      <c r="B7313" s="3"/>
    </row>
    <row r="7314" spans="2:2" x14ac:dyDescent="0.25">
      <c r="B7314" s="3"/>
    </row>
    <row r="7315" spans="2:2" x14ac:dyDescent="0.25">
      <c r="B7315" s="3"/>
    </row>
    <row r="7316" spans="2:2" x14ac:dyDescent="0.25">
      <c r="B7316" s="3"/>
    </row>
    <row r="7317" spans="2:2" x14ac:dyDescent="0.25">
      <c r="B7317" s="3"/>
    </row>
    <row r="7318" spans="2:2" x14ac:dyDescent="0.25">
      <c r="B7318" s="3"/>
    </row>
    <row r="7319" spans="2:2" x14ac:dyDescent="0.25">
      <c r="B7319" s="3"/>
    </row>
    <row r="7320" spans="2:2" x14ac:dyDescent="0.25">
      <c r="B7320" s="3"/>
    </row>
    <row r="7321" spans="2:2" x14ac:dyDescent="0.25">
      <c r="B7321" s="3"/>
    </row>
    <row r="7322" spans="2:2" x14ac:dyDescent="0.25">
      <c r="B7322" s="3"/>
    </row>
    <row r="7323" spans="2:2" x14ac:dyDescent="0.25">
      <c r="B7323" s="3"/>
    </row>
    <row r="7324" spans="2:2" x14ac:dyDescent="0.25">
      <c r="B7324" s="3"/>
    </row>
    <row r="7325" spans="2:2" x14ac:dyDescent="0.25">
      <c r="B7325" s="3"/>
    </row>
    <row r="7326" spans="2:2" x14ac:dyDescent="0.25">
      <c r="B7326" s="3"/>
    </row>
    <row r="7327" spans="2:2" x14ac:dyDescent="0.25">
      <c r="B7327" s="3"/>
    </row>
    <row r="7328" spans="2:2" x14ac:dyDescent="0.25">
      <c r="B7328" s="3"/>
    </row>
    <row r="7329" spans="2:2" x14ac:dyDescent="0.25">
      <c r="B7329" s="3"/>
    </row>
    <row r="7330" spans="2:2" x14ac:dyDescent="0.25">
      <c r="B7330" s="3"/>
    </row>
    <row r="7331" spans="2:2" x14ac:dyDescent="0.25">
      <c r="B7331" s="3"/>
    </row>
    <row r="7332" spans="2:2" x14ac:dyDescent="0.25">
      <c r="B7332" s="3"/>
    </row>
    <row r="7333" spans="2:2" x14ac:dyDescent="0.25">
      <c r="B7333" s="3"/>
    </row>
    <row r="7334" spans="2:2" x14ac:dyDescent="0.25">
      <c r="B7334" s="3"/>
    </row>
    <row r="7335" spans="2:2" x14ac:dyDescent="0.25">
      <c r="B7335" s="3"/>
    </row>
    <row r="7336" spans="2:2" x14ac:dyDescent="0.25">
      <c r="B7336" s="3"/>
    </row>
    <row r="7337" spans="2:2" x14ac:dyDescent="0.25">
      <c r="B7337" s="3"/>
    </row>
    <row r="7338" spans="2:2" x14ac:dyDescent="0.25">
      <c r="B7338" s="3"/>
    </row>
    <row r="7339" spans="2:2" x14ac:dyDescent="0.25">
      <c r="B7339" s="3"/>
    </row>
    <row r="7340" spans="2:2" x14ac:dyDescent="0.25">
      <c r="B7340" s="3"/>
    </row>
    <row r="7341" spans="2:2" x14ac:dyDescent="0.25">
      <c r="B7341" s="3"/>
    </row>
    <row r="7342" spans="2:2" x14ac:dyDescent="0.25">
      <c r="B7342" s="3"/>
    </row>
    <row r="7343" spans="2:2" x14ac:dyDescent="0.25">
      <c r="B7343" s="3"/>
    </row>
    <row r="7344" spans="2:2" x14ac:dyDescent="0.25">
      <c r="B7344" s="3"/>
    </row>
    <row r="7345" spans="2:2" x14ac:dyDescent="0.25">
      <c r="B7345" s="3"/>
    </row>
    <row r="7346" spans="2:2" x14ac:dyDescent="0.25">
      <c r="B7346" s="3"/>
    </row>
    <row r="7347" spans="2:2" x14ac:dyDescent="0.25">
      <c r="B7347" s="3"/>
    </row>
    <row r="7348" spans="2:2" x14ac:dyDescent="0.25">
      <c r="B7348" s="3"/>
    </row>
    <row r="7349" spans="2:2" x14ac:dyDescent="0.25">
      <c r="B7349" s="3"/>
    </row>
    <row r="7350" spans="2:2" x14ac:dyDescent="0.25">
      <c r="B7350" s="3"/>
    </row>
    <row r="7351" spans="2:2" x14ac:dyDescent="0.25">
      <c r="B7351" s="3"/>
    </row>
    <row r="7352" spans="2:2" x14ac:dyDescent="0.25">
      <c r="B7352" s="3"/>
    </row>
    <row r="7353" spans="2:2" x14ac:dyDescent="0.25">
      <c r="B7353" s="3"/>
    </row>
    <row r="7354" spans="2:2" x14ac:dyDescent="0.25">
      <c r="B7354" s="3"/>
    </row>
    <row r="7355" spans="2:2" x14ac:dyDescent="0.25">
      <c r="B7355" s="3"/>
    </row>
    <row r="7356" spans="2:2" x14ac:dyDescent="0.25">
      <c r="B7356" s="3"/>
    </row>
    <row r="7357" spans="2:2" x14ac:dyDescent="0.25">
      <c r="B7357" s="3"/>
    </row>
    <row r="7358" spans="2:2" x14ac:dyDescent="0.25">
      <c r="B7358" s="3"/>
    </row>
    <row r="7359" spans="2:2" x14ac:dyDescent="0.25">
      <c r="B7359" s="3"/>
    </row>
    <row r="7360" spans="2:2" x14ac:dyDescent="0.25">
      <c r="B7360" s="3"/>
    </row>
    <row r="7361" spans="2:2" x14ac:dyDescent="0.25">
      <c r="B7361" s="3"/>
    </row>
    <row r="7362" spans="2:2" x14ac:dyDescent="0.25">
      <c r="B7362" s="3"/>
    </row>
    <row r="7363" spans="2:2" x14ac:dyDescent="0.25">
      <c r="B7363" s="3"/>
    </row>
    <row r="7364" spans="2:2" x14ac:dyDescent="0.25">
      <c r="B7364" s="3"/>
    </row>
    <row r="7365" spans="2:2" x14ac:dyDescent="0.25">
      <c r="B7365" s="3"/>
    </row>
    <row r="7366" spans="2:2" x14ac:dyDescent="0.25">
      <c r="B7366" s="3"/>
    </row>
    <row r="7367" spans="2:2" x14ac:dyDescent="0.25">
      <c r="B7367" s="3"/>
    </row>
    <row r="7368" spans="2:2" x14ac:dyDescent="0.25">
      <c r="B7368" s="3"/>
    </row>
    <row r="7369" spans="2:2" x14ac:dyDescent="0.25">
      <c r="B7369" s="3"/>
    </row>
    <row r="7370" spans="2:2" x14ac:dyDescent="0.25">
      <c r="B7370" s="3"/>
    </row>
    <row r="7371" spans="2:2" x14ac:dyDescent="0.25">
      <c r="B7371" s="3"/>
    </row>
    <row r="7372" spans="2:2" x14ac:dyDescent="0.25">
      <c r="B7372" s="3"/>
    </row>
    <row r="7373" spans="2:2" x14ac:dyDescent="0.25">
      <c r="B7373" s="3"/>
    </row>
    <row r="7374" spans="2:2" x14ac:dyDescent="0.25">
      <c r="B7374" s="3"/>
    </row>
    <row r="7375" spans="2:2" x14ac:dyDescent="0.25">
      <c r="B7375" s="3"/>
    </row>
    <row r="7376" spans="2:2" x14ac:dyDescent="0.25">
      <c r="B7376" s="3"/>
    </row>
    <row r="7377" spans="2:2" x14ac:dyDescent="0.25">
      <c r="B7377" s="3"/>
    </row>
    <row r="7378" spans="2:2" x14ac:dyDescent="0.25">
      <c r="B7378" s="3"/>
    </row>
    <row r="7379" spans="2:2" x14ac:dyDescent="0.25">
      <c r="B7379" s="3"/>
    </row>
    <row r="7380" spans="2:2" x14ac:dyDescent="0.25">
      <c r="B7380" s="3"/>
    </row>
    <row r="7381" spans="2:2" x14ac:dyDescent="0.25">
      <c r="B7381" s="3"/>
    </row>
    <row r="7382" spans="2:2" x14ac:dyDescent="0.25">
      <c r="B7382" s="3"/>
    </row>
    <row r="7383" spans="2:2" x14ac:dyDescent="0.25">
      <c r="B7383" s="3"/>
    </row>
    <row r="7384" spans="2:2" x14ac:dyDescent="0.25">
      <c r="B7384" s="3"/>
    </row>
    <row r="7385" spans="2:2" x14ac:dyDescent="0.25">
      <c r="B7385" s="3"/>
    </row>
    <row r="7386" spans="2:2" x14ac:dyDescent="0.25">
      <c r="B7386" s="3"/>
    </row>
    <row r="7387" spans="2:2" x14ac:dyDescent="0.25">
      <c r="B7387" s="3"/>
    </row>
    <row r="7388" spans="2:2" x14ac:dyDescent="0.25">
      <c r="B7388" s="3"/>
    </row>
    <row r="7389" spans="2:2" x14ac:dyDescent="0.25">
      <c r="B7389" s="3"/>
    </row>
    <row r="7390" spans="2:2" x14ac:dyDescent="0.25">
      <c r="B7390" s="3"/>
    </row>
    <row r="7391" spans="2:2" x14ac:dyDescent="0.25">
      <c r="B7391" s="3"/>
    </row>
    <row r="7392" spans="2:2" x14ac:dyDescent="0.25">
      <c r="B7392" s="3"/>
    </row>
    <row r="7393" spans="2:2" x14ac:dyDescent="0.25">
      <c r="B7393" s="3"/>
    </row>
    <row r="7394" spans="2:2" x14ac:dyDescent="0.25">
      <c r="B7394" s="3"/>
    </row>
    <row r="7395" spans="2:2" x14ac:dyDescent="0.25">
      <c r="B7395" s="3"/>
    </row>
    <row r="7396" spans="2:2" x14ac:dyDescent="0.25">
      <c r="B7396" s="3"/>
    </row>
    <row r="7397" spans="2:2" x14ac:dyDescent="0.25">
      <c r="B7397" s="3"/>
    </row>
    <row r="7398" spans="2:2" x14ac:dyDescent="0.25">
      <c r="B7398" s="3"/>
    </row>
    <row r="7399" spans="2:2" x14ac:dyDescent="0.25">
      <c r="B7399" s="3"/>
    </row>
    <row r="7400" spans="2:2" x14ac:dyDescent="0.25">
      <c r="B7400" s="3"/>
    </row>
    <row r="7401" spans="2:2" x14ac:dyDescent="0.25">
      <c r="B7401" s="3"/>
    </row>
    <row r="7402" spans="2:2" x14ac:dyDescent="0.25">
      <c r="B7402" s="3"/>
    </row>
    <row r="7403" spans="2:2" x14ac:dyDescent="0.25">
      <c r="B7403" s="3"/>
    </row>
    <row r="7404" spans="2:2" x14ac:dyDescent="0.25">
      <c r="B7404" s="3"/>
    </row>
    <row r="7405" spans="2:2" x14ac:dyDescent="0.25">
      <c r="B7405" s="3"/>
    </row>
    <row r="7406" spans="2:2" x14ac:dyDescent="0.25">
      <c r="B7406" s="3"/>
    </row>
    <row r="7407" spans="2:2" x14ac:dyDescent="0.25">
      <c r="B7407" s="3"/>
    </row>
    <row r="7408" spans="2:2" x14ac:dyDescent="0.25">
      <c r="B7408" s="3"/>
    </row>
    <row r="7409" spans="2:2" x14ac:dyDescent="0.25">
      <c r="B7409" s="3"/>
    </row>
    <row r="7410" spans="2:2" x14ac:dyDescent="0.25">
      <c r="B7410" s="3"/>
    </row>
    <row r="7411" spans="2:2" x14ac:dyDescent="0.25">
      <c r="B7411" s="3"/>
    </row>
    <row r="7412" spans="2:2" x14ac:dyDescent="0.25">
      <c r="B7412" s="3"/>
    </row>
    <row r="7413" spans="2:2" x14ac:dyDescent="0.25">
      <c r="B7413" s="3"/>
    </row>
    <row r="7414" spans="2:2" x14ac:dyDescent="0.25">
      <c r="B7414" s="3"/>
    </row>
    <row r="7415" spans="2:2" x14ac:dyDescent="0.25">
      <c r="B7415" s="3"/>
    </row>
    <row r="7416" spans="2:2" x14ac:dyDescent="0.25">
      <c r="B7416" s="3"/>
    </row>
    <row r="7417" spans="2:2" x14ac:dyDescent="0.25">
      <c r="B7417" s="3"/>
    </row>
    <row r="7418" spans="2:2" x14ac:dyDescent="0.25">
      <c r="B7418" s="3"/>
    </row>
    <row r="7419" spans="2:2" x14ac:dyDescent="0.25">
      <c r="B7419" s="3"/>
    </row>
    <row r="7420" spans="2:2" x14ac:dyDescent="0.25">
      <c r="B7420" s="3"/>
    </row>
    <row r="7421" spans="2:2" x14ac:dyDescent="0.25">
      <c r="B7421" s="3"/>
    </row>
    <row r="7422" spans="2:2" x14ac:dyDescent="0.25">
      <c r="B7422" s="3"/>
    </row>
    <row r="7423" spans="2:2" x14ac:dyDescent="0.25">
      <c r="B7423" s="3"/>
    </row>
    <row r="7424" spans="2:2" x14ac:dyDescent="0.25">
      <c r="B7424" s="3"/>
    </row>
    <row r="7425" spans="2:2" x14ac:dyDescent="0.25">
      <c r="B7425" s="3"/>
    </row>
    <row r="7426" spans="2:2" x14ac:dyDescent="0.25">
      <c r="B7426" s="3"/>
    </row>
    <row r="7427" spans="2:2" x14ac:dyDescent="0.25">
      <c r="B7427" s="3"/>
    </row>
    <row r="7428" spans="2:2" x14ac:dyDescent="0.25">
      <c r="B7428" s="3"/>
    </row>
    <row r="7429" spans="2:2" x14ac:dyDescent="0.25">
      <c r="B7429" s="3"/>
    </row>
    <row r="7430" spans="2:2" x14ac:dyDescent="0.25">
      <c r="B7430" s="3"/>
    </row>
    <row r="7431" spans="2:2" x14ac:dyDescent="0.25">
      <c r="B7431" s="3"/>
    </row>
    <row r="7432" spans="2:2" x14ac:dyDescent="0.25">
      <c r="B7432" s="3"/>
    </row>
    <row r="7433" spans="2:2" x14ac:dyDescent="0.25">
      <c r="B7433" s="3"/>
    </row>
    <row r="7434" spans="2:2" x14ac:dyDescent="0.25">
      <c r="B7434" s="3"/>
    </row>
    <row r="7435" spans="2:2" x14ac:dyDescent="0.25">
      <c r="B7435" s="3"/>
    </row>
    <row r="7436" spans="2:2" x14ac:dyDescent="0.25">
      <c r="B7436" s="3"/>
    </row>
    <row r="7437" spans="2:2" x14ac:dyDescent="0.25">
      <c r="B7437" s="3"/>
    </row>
    <row r="7438" spans="2:2" x14ac:dyDescent="0.25">
      <c r="B7438" s="3"/>
    </row>
    <row r="7439" spans="2:2" x14ac:dyDescent="0.25">
      <c r="B7439" s="3"/>
    </row>
    <row r="7440" spans="2:2" x14ac:dyDescent="0.25">
      <c r="B7440" s="3"/>
    </row>
    <row r="7441" spans="2:2" x14ac:dyDescent="0.25">
      <c r="B7441" s="3"/>
    </row>
    <row r="7442" spans="2:2" x14ac:dyDescent="0.25">
      <c r="B7442" s="3"/>
    </row>
    <row r="7443" spans="2:2" x14ac:dyDescent="0.25">
      <c r="B7443" s="3"/>
    </row>
    <row r="7444" spans="2:2" x14ac:dyDescent="0.25">
      <c r="B7444" s="3"/>
    </row>
    <row r="7445" spans="2:2" x14ac:dyDescent="0.25">
      <c r="B7445" s="3"/>
    </row>
    <row r="7446" spans="2:2" x14ac:dyDescent="0.25">
      <c r="B7446" s="3"/>
    </row>
    <row r="7447" spans="2:2" x14ac:dyDescent="0.25">
      <c r="B7447" s="3"/>
    </row>
    <row r="7448" spans="2:2" x14ac:dyDescent="0.25">
      <c r="B7448" s="3"/>
    </row>
    <row r="7449" spans="2:2" x14ac:dyDescent="0.25">
      <c r="B7449" s="3"/>
    </row>
    <row r="7450" spans="2:2" x14ac:dyDescent="0.25">
      <c r="B7450" s="3"/>
    </row>
    <row r="7451" spans="2:2" x14ac:dyDescent="0.25">
      <c r="B7451" s="3"/>
    </row>
    <row r="7452" spans="2:2" x14ac:dyDescent="0.25">
      <c r="B7452" s="3"/>
    </row>
    <row r="7453" spans="2:2" x14ac:dyDescent="0.25">
      <c r="B7453" s="3"/>
    </row>
    <row r="7454" spans="2:2" x14ac:dyDescent="0.25">
      <c r="B7454" s="3"/>
    </row>
    <row r="7455" spans="2:2" x14ac:dyDescent="0.25">
      <c r="B7455" s="3"/>
    </row>
    <row r="7456" spans="2:2" x14ac:dyDescent="0.25">
      <c r="B7456" s="3"/>
    </row>
    <row r="7457" spans="2:2" x14ac:dyDescent="0.25">
      <c r="B7457" s="3"/>
    </row>
    <row r="7458" spans="2:2" x14ac:dyDescent="0.25">
      <c r="B7458" s="3"/>
    </row>
    <row r="7459" spans="2:2" x14ac:dyDescent="0.25">
      <c r="B7459" s="3"/>
    </row>
    <row r="7460" spans="2:2" x14ac:dyDescent="0.25">
      <c r="B7460" s="3"/>
    </row>
    <row r="7461" spans="2:2" x14ac:dyDescent="0.25">
      <c r="B7461" s="3"/>
    </row>
    <row r="7462" spans="2:2" x14ac:dyDescent="0.25">
      <c r="B7462" s="3"/>
    </row>
    <row r="7463" spans="2:2" x14ac:dyDescent="0.25">
      <c r="B7463" s="3"/>
    </row>
    <row r="7464" spans="2:2" x14ac:dyDescent="0.25">
      <c r="B7464" s="3"/>
    </row>
    <row r="7465" spans="2:2" x14ac:dyDescent="0.25">
      <c r="B7465" s="3"/>
    </row>
    <row r="7466" spans="2:2" x14ac:dyDescent="0.25">
      <c r="B7466" s="3"/>
    </row>
    <row r="7467" spans="2:2" x14ac:dyDescent="0.25">
      <c r="B7467" s="3"/>
    </row>
    <row r="7468" spans="2:2" x14ac:dyDescent="0.25">
      <c r="B7468" s="3"/>
    </row>
    <row r="7469" spans="2:2" x14ac:dyDescent="0.25">
      <c r="B7469" s="3"/>
    </row>
    <row r="7470" spans="2:2" x14ac:dyDescent="0.25">
      <c r="B7470" s="3"/>
    </row>
    <row r="7471" spans="2:2" x14ac:dyDescent="0.25">
      <c r="B7471" s="3"/>
    </row>
    <row r="7472" spans="2:2" x14ac:dyDescent="0.25">
      <c r="B7472" s="3"/>
    </row>
    <row r="7473" spans="2:2" x14ac:dyDescent="0.25">
      <c r="B7473" s="3"/>
    </row>
    <row r="7474" spans="2:2" x14ac:dyDescent="0.25">
      <c r="B7474" s="3"/>
    </row>
    <row r="7475" spans="2:2" x14ac:dyDescent="0.25">
      <c r="B7475" s="3"/>
    </row>
    <row r="7476" spans="2:2" x14ac:dyDescent="0.25">
      <c r="B7476" s="3"/>
    </row>
    <row r="7477" spans="2:2" x14ac:dyDescent="0.25">
      <c r="B7477" s="3"/>
    </row>
    <row r="7478" spans="2:2" x14ac:dyDescent="0.25">
      <c r="B7478" s="3"/>
    </row>
    <row r="7479" spans="2:2" x14ac:dyDescent="0.25">
      <c r="B7479" s="3"/>
    </row>
    <row r="7480" spans="2:2" x14ac:dyDescent="0.25">
      <c r="B7480" s="3"/>
    </row>
    <row r="7481" spans="2:2" x14ac:dyDescent="0.25">
      <c r="B7481" s="3"/>
    </row>
    <row r="7482" spans="2:2" x14ac:dyDescent="0.25">
      <c r="B7482" s="3"/>
    </row>
    <row r="7483" spans="2:2" x14ac:dyDescent="0.25">
      <c r="B7483" s="3"/>
    </row>
    <row r="7484" spans="2:2" x14ac:dyDescent="0.25">
      <c r="B7484" s="3"/>
    </row>
    <row r="7485" spans="2:2" x14ac:dyDescent="0.25">
      <c r="B7485" s="3"/>
    </row>
    <row r="7486" spans="2:2" x14ac:dyDescent="0.25">
      <c r="B7486" s="3"/>
    </row>
    <row r="7487" spans="2:2" x14ac:dyDescent="0.25">
      <c r="B7487" s="3"/>
    </row>
    <row r="7488" spans="2:2" x14ac:dyDescent="0.25">
      <c r="B7488" s="3"/>
    </row>
    <row r="7489" spans="2:2" x14ac:dyDescent="0.25">
      <c r="B7489" s="3"/>
    </row>
    <row r="7490" spans="2:2" x14ac:dyDescent="0.25">
      <c r="B7490" s="3"/>
    </row>
    <row r="7491" spans="2:2" x14ac:dyDescent="0.25">
      <c r="B7491" s="3"/>
    </row>
    <row r="7492" spans="2:2" x14ac:dyDescent="0.25">
      <c r="B7492" s="3"/>
    </row>
    <row r="7493" spans="2:2" x14ac:dyDescent="0.25">
      <c r="B7493" s="3"/>
    </row>
    <row r="7494" spans="2:2" x14ac:dyDescent="0.25">
      <c r="B7494" s="3"/>
    </row>
    <row r="7495" spans="2:2" x14ac:dyDescent="0.25">
      <c r="B7495" s="3"/>
    </row>
    <row r="7496" spans="2:2" x14ac:dyDescent="0.25">
      <c r="B7496" s="3"/>
    </row>
    <row r="7497" spans="2:2" x14ac:dyDescent="0.25">
      <c r="B7497" s="3"/>
    </row>
    <row r="7498" spans="2:2" x14ac:dyDescent="0.25">
      <c r="B7498" s="3"/>
    </row>
    <row r="7499" spans="2:2" x14ac:dyDescent="0.25">
      <c r="B7499" s="3"/>
    </row>
    <row r="7500" spans="2:2" x14ac:dyDescent="0.25">
      <c r="B7500" s="3"/>
    </row>
    <row r="7501" spans="2:2" x14ac:dyDescent="0.25">
      <c r="B7501" s="3"/>
    </row>
    <row r="7502" spans="2:2" x14ac:dyDescent="0.25">
      <c r="B7502" s="3"/>
    </row>
    <row r="7503" spans="2:2" x14ac:dyDescent="0.25">
      <c r="B7503" s="3"/>
    </row>
    <row r="7504" spans="2:2" x14ac:dyDescent="0.25">
      <c r="B7504" s="3"/>
    </row>
    <row r="7505" spans="2:2" x14ac:dyDescent="0.25">
      <c r="B7505" s="3"/>
    </row>
    <row r="7506" spans="2:2" x14ac:dyDescent="0.25">
      <c r="B7506" s="3"/>
    </row>
    <row r="7507" spans="2:2" x14ac:dyDescent="0.25">
      <c r="B7507" s="3"/>
    </row>
    <row r="7508" spans="2:2" x14ac:dyDescent="0.25">
      <c r="B7508" s="3"/>
    </row>
    <row r="7509" spans="2:2" x14ac:dyDescent="0.25">
      <c r="B7509" s="3"/>
    </row>
    <row r="7510" spans="2:2" x14ac:dyDescent="0.25">
      <c r="B7510" s="3"/>
    </row>
    <row r="7511" spans="2:2" x14ac:dyDescent="0.25">
      <c r="B7511" s="3"/>
    </row>
    <row r="7512" spans="2:2" x14ac:dyDescent="0.25">
      <c r="B7512" s="3"/>
    </row>
    <row r="7513" spans="2:2" x14ac:dyDescent="0.25">
      <c r="B7513" s="3"/>
    </row>
    <row r="7514" spans="2:2" x14ac:dyDescent="0.25">
      <c r="B7514" s="3"/>
    </row>
    <row r="7515" spans="2:2" x14ac:dyDescent="0.25">
      <c r="B7515" s="3"/>
    </row>
    <row r="7516" spans="2:2" x14ac:dyDescent="0.25">
      <c r="B7516" s="3"/>
    </row>
    <row r="7517" spans="2:2" x14ac:dyDescent="0.25">
      <c r="B7517" s="3"/>
    </row>
    <row r="7518" spans="2:2" x14ac:dyDescent="0.25">
      <c r="B7518" s="3"/>
    </row>
    <row r="7519" spans="2:2" x14ac:dyDescent="0.25">
      <c r="B7519" s="3"/>
    </row>
    <row r="7520" spans="2:2" x14ac:dyDescent="0.25">
      <c r="B7520" s="3"/>
    </row>
    <row r="7521" spans="2:2" x14ac:dyDescent="0.25">
      <c r="B7521" s="3"/>
    </row>
    <row r="7522" spans="2:2" x14ac:dyDescent="0.25">
      <c r="B7522" s="3"/>
    </row>
    <row r="7523" spans="2:2" x14ac:dyDescent="0.25">
      <c r="B7523" s="3"/>
    </row>
    <row r="7524" spans="2:2" x14ac:dyDescent="0.25">
      <c r="B7524" s="3"/>
    </row>
    <row r="7525" spans="2:2" x14ac:dyDescent="0.25">
      <c r="B7525" s="3"/>
    </row>
    <row r="7526" spans="2:2" x14ac:dyDescent="0.25">
      <c r="B7526" s="3"/>
    </row>
    <row r="7527" spans="2:2" x14ac:dyDescent="0.25">
      <c r="B7527" s="3"/>
    </row>
    <row r="7528" spans="2:2" x14ac:dyDescent="0.25">
      <c r="B7528" s="3"/>
    </row>
    <row r="7529" spans="2:2" x14ac:dyDescent="0.25">
      <c r="B7529" s="3"/>
    </row>
    <row r="7530" spans="2:2" x14ac:dyDescent="0.25">
      <c r="B7530" s="3"/>
    </row>
    <row r="7531" spans="2:2" x14ac:dyDescent="0.25">
      <c r="B7531" s="3"/>
    </row>
    <row r="7532" spans="2:2" x14ac:dyDescent="0.25">
      <c r="B7532" s="3"/>
    </row>
    <row r="7533" spans="2:2" x14ac:dyDescent="0.25">
      <c r="B7533" s="3"/>
    </row>
    <row r="7534" spans="2:2" x14ac:dyDescent="0.25">
      <c r="B7534" s="3"/>
    </row>
    <row r="7535" spans="2:2" x14ac:dyDescent="0.25">
      <c r="B7535" s="3"/>
    </row>
    <row r="7536" spans="2:2" x14ac:dyDescent="0.25">
      <c r="B7536" s="3"/>
    </row>
    <row r="7537" spans="2:2" x14ac:dyDescent="0.25">
      <c r="B7537" s="3"/>
    </row>
    <row r="7538" spans="2:2" x14ac:dyDescent="0.25">
      <c r="B7538" s="3"/>
    </row>
    <row r="7539" spans="2:2" x14ac:dyDescent="0.25">
      <c r="B7539" s="3"/>
    </row>
    <row r="7540" spans="2:2" x14ac:dyDescent="0.25">
      <c r="B7540" s="3"/>
    </row>
    <row r="7541" spans="2:2" x14ac:dyDescent="0.25">
      <c r="B7541" s="3"/>
    </row>
    <row r="7542" spans="2:2" x14ac:dyDescent="0.25">
      <c r="B7542" s="3"/>
    </row>
    <row r="7543" spans="2:2" x14ac:dyDescent="0.25">
      <c r="B7543" s="3"/>
    </row>
    <row r="7544" spans="2:2" x14ac:dyDescent="0.25">
      <c r="B7544" s="3"/>
    </row>
    <row r="7545" spans="2:2" x14ac:dyDescent="0.25">
      <c r="B7545" s="3"/>
    </row>
    <row r="7546" spans="2:2" x14ac:dyDescent="0.25">
      <c r="B7546" s="3"/>
    </row>
    <row r="7547" spans="2:2" x14ac:dyDescent="0.25">
      <c r="B7547" s="3"/>
    </row>
    <row r="7548" spans="2:2" x14ac:dyDescent="0.25">
      <c r="B7548" s="3"/>
    </row>
    <row r="7549" spans="2:2" x14ac:dyDescent="0.25">
      <c r="B7549" s="3"/>
    </row>
    <row r="7550" spans="2:2" x14ac:dyDescent="0.25">
      <c r="B7550" s="3"/>
    </row>
    <row r="7551" spans="2:2" x14ac:dyDescent="0.25">
      <c r="B7551" s="3"/>
    </row>
    <row r="7552" spans="2:2" x14ac:dyDescent="0.25">
      <c r="B7552" s="3"/>
    </row>
    <row r="7553" spans="2:2" x14ac:dyDescent="0.25">
      <c r="B7553" s="3"/>
    </row>
    <row r="7554" spans="2:2" x14ac:dyDescent="0.25">
      <c r="B7554" s="3"/>
    </row>
    <row r="7555" spans="2:2" x14ac:dyDescent="0.25">
      <c r="B7555" s="3"/>
    </row>
    <row r="7556" spans="2:2" x14ac:dyDescent="0.25">
      <c r="B7556" s="3"/>
    </row>
    <row r="7557" spans="2:2" x14ac:dyDescent="0.25">
      <c r="B7557" s="3"/>
    </row>
    <row r="7558" spans="2:2" x14ac:dyDescent="0.25">
      <c r="B7558" s="3"/>
    </row>
    <row r="7559" spans="2:2" x14ac:dyDescent="0.25">
      <c r="B7559" s="3"/>
    </row>
    <row r="7560" spans="2:2" x14ac:dyDescent="0.25">
      <c r="B7560" s="3"/>
    </row>
    <row r="7561" spans="2:2" x14ac:dyDescent="0.25">
      <c r="B7561" s="3"/>
    </row>
    <row r="7562" spans="2:2" x14ac:dyDescent="0.25">
      <c r="B7562" s="3"/>
    </row>
    <row r="7563" spans="2:2" x14ac:dyDescent="0.25">
      <c r="B7563" s="3"/>
    </row>
    <row r="7564" spans="2:2" x14ac:dyDescent="0.25">
      <c r="B7564" s="3"/>
    </row>
    <row r="7565" spans="2:2" x14ac:dyDescent="0.25">
      <c r="B7565" s="3"/>
    </row>
    <row r="7566" spans="2:2" x14ac:dyDescent="0.25">
      <c r="B7566" s="3"/>
    </row>
    <row r="7567" spans="2:2" x14ac:dyDescent="0.25">
      <c r="B7567" s="3"/>
    </row>
    <row r="7568" spans="2:2" x14ac:dyDescent="0.25">
      <c r="B7568" s="3"/>
    </row>
    <row r="7569" spans="2:2" x14ac:dyDescent="0.25">
      <c r="B7569" s="3"/>
    </row>
    <row r="7570" spans="2:2" x14ac:dyDescent="0.25">
      <c r="B7570" s="3"/>
    </row>
    <row r="7571" spans="2:2" x14ac:dyDescent="0.25">
      <c r="B7571" s="3"/>
    </row>
    <row r="7572" spans="2:2" x14ac:dyDescent="0.25">
      <c r="B7572" s="3"/>
    </row>
    <row r="7573" spans="2:2" x14ac:dyDescent="0.25">
      <c r="B7573" s="3"/>
    </row>
    <row r="7574" spans="2:2" x14ac:dyDescent="0.25">
      <c r="B7574" s="3"/>
    </row>
    <row r="7575" spans="2:2" x14ac:dyDescent="0.25">
      <c r="B7575" s="3"/>
    </row>
    <row r="7576" spans="2:2" x14ac:dyDescent="0.25">
      <c r="B7576" s="3"/>
    </row>
    <row r="7577" spans="2:2" x14ac:dyDescent="0.25">
      <c r="B7577" s="3"/>
    </row>
    <row r="7578" spans="2:2" x14ac:dyDescent="0.25">
      <c r="B7578" s="3"/>
    </row>
    <row r="7579" spans="2:2" x14ac:dyDescent="0.25">
      <c r="B7579" s="3"/>
    </row>
    <row r="7580" spans="2:2" x14ac:dyDescent="0.25">
      <c r="B7580" s="3"/>
    </row>
    <row r="7581" spans="2:2" x14ac:dyDescent="0.25">
      <c r="B7581" s="3"/>
    </row>
    <row r="7582" spans="2:2" x14ac:dyDescent="0.25">
      <c r="B7582" s="3"/>
    </row>
    <row r="7583" spans="2:2" x14ac:dyDescent="0.25">
      <c r="B7583" s="3"/>
    </row>
    <row r="7584" spans="2:2" x14ac:dyDescent="0.25">
      <c r="B7584" s="3"/>
    </row>
    <row r="7585" spans="2:2" x14ac:dyDescent="0.25">
      <c r="B7585" s="3"/>
    </row>
    <row r="7586" spans="2:2" x14ac:dyDescent="0.25">
      <c r="B7586" s="3"/>
    </row>
    <row r="7587" spans="2:2" x14ac:dyDescent="0.25">
      <c r="B7587" s="3"/>
    </row>
    <row r="7588" spans="2:2" x14ac:dyDescent="0.25">
      <c r="B7588" s="3"/>
    </row>
    <row r="7589" spans="2:2" x14ac:dyDescent="0.25">
      <c r="B7589" s="3"/>
    </row>
    <row r="7590" spans="2:2" x14ac:dyDescent="0.25">
      <c r="B7590" s="3"/>
    </row>
    <row r="7591" spans="2:2" x14ac:dyDescent="0.25">
      <c r="B7591" s="3"/>
    </row>
    <row r="7592" spans="2:2" x14ac:dyDescent="0.25">
      <c r="B7592" s="3"/>
    </row>
    <row r="7593" spans="2:2" x14ac:dyDescent="0.25">
      <c r="B7593" s="3"/>
    </row>
    <row r="7594" spans="2:2" x14ac:dyDescent="0.25">
      <c r="B7594" s="3"/>
    </row>
    <row r="7595" spans="2:2" x14ac:dyDescent="0.25">
      <c r="B7595" s="3"/>
    </row>
    <row r="7596" spans="2:2" x14ac:dyDescent="0.25">
      <c r="B7596" s="3"/>
    </row>
    <row r="7597" spans="2:2" x14ac:dyDescent="0.25">
      <c r="B7597" s="3"/>
    </row>
    <row r="7598" spans="2:2" x14ac:dyDescent="0.25">
      <c r="B7598" s="3"/>
    </row>
    <row r="7599" spans="2:2" x14ac:dyDescent="0.25">
      <c r="B7599" s="3"/>
    </row>
    <row r="7600" spans="2:2" x14ac:dyDescent="0.25">
      <c r="B7600" s="3"/>
    </row>
    <row r="7601" spans="2:2" x14ac:dyDescent="0.25">
      <c r="B7601" s="3"/>
    </row>
    <row r="7602" spans="2:2" x14ac:dyDescent="0.25">
      <c r="B7602" s="3"/>
    </row>
    <row r="7603" spans="2:2" x14ac:dyDescent="0.25">
      <c r="B7603" s="3"/>
    </row>
    <row r="7604" spans="2:2" x14ac:dyDescent="0.25">
      <c r="B7604" s="3"/>
    </row>
    <row r="7605" spans="2:2" x14ac:dyDescent="0.25">
      <c r="B7605" s="3"/>
    </row>
    <row r="7606" spans="2:2" x14ac:dyDescent="0.25">
      <c r="B7606" s="3"/>
    </row>
    <row r="7607" spans="2:2" x14ac:dyDescent="0.25">
      <c r="B7607" s="3"/>
    </row>
    <row r="7608" spans="2:2" x14ac:dyDescent="0.25">
      <c r="B7608" s="3"/>
    </row>
    <row r="7609" spans="2:2" x14ac:dyDescent="0.25">
      <c r="B7609" s="3"/>
    </row>
    <row r="7610" spans="2:2" x14ac:dyDescent="0.25">
      <c r="B7610" s="3"/>
    </row>
    <row r="7611" spans="2:2" x14ac:dyDescent="0.25">
      <c r="B7611" s="3"/>
    </row>
    <row r="7612" spans="2:2" x14ac:dyDescent="0.25">
      <c r="B7612" s="3"/>
    </row>
    <row r="7613" spans="2:2" x14ac:dyDescent="0.25">
      <c r="B7613" s="3"/>
    </row>
    <row r="7614" spans="2:2" x14ac:dyDescent="0.25">
      <c r="B7614" s="3"/>
    </row>
    <row r="7615" spans="2:2" x14ac:dyDescent="0.25">
      <c r="B7615" s="3"/>
    </row>
    <row r="7616" spans="2:2" x14ac:dyDescent="0.25">
      <c r="B7616" s="3"/>
    </row>
    <row r="7617" spans="2:2" x14ac:dyDescent="0.25">
      <c r="B7617" s="3"/>
    </row>
    <row r="7618" spans="2:2" x14ac:dyDescent="0.25">
      <c r="B7618" s="3"/>
    </row>
    <row r="7619" spans="2:2" x14ac:dyDescent="0.25">
      <c r="B7619" s="3"/>
    </row>
    <row r="7620" spans="2:2" x14ac:dyDescent="0.25">
      <c r="B7620" s="3"/>
    </row>
    <row r="7621" spans="2:2" x14ac:dyDescent="0.25">
      <c r="B7621" s="3"/>
    </row>
    <row r="7622" spans="2:2" x14ac:dyDescent="0.25">
      <c r="B7622" s="3"/>
    </row>
    <row r="7623" spans="2:2" x14ac:dyDescent="0.25">
      <c r="B7623" s="3"/>
    </row>
    <row r="7624" spans="2:2" x14ac:dyDescent="0.25">
      <c r="B7624" s="3"/>
    </row>
    <row r="7625" spans="2:2" x14ac:dyDescent="0.25">
      <c r="B7625" s="3"/>
    </row>
    <row r="7626" spans="2:2" x14ac:dyDescent="0.25">
      <c r="B7626" s="3"/>
    </row>
    <row r="7627" spans="2:2" x14ac:dyDescent="0.25">
      <c r="B7627" s="3"/>
    </row>
    <row r="7628" spans="2:2" x14ac:dyDescent="0.25">
      <c r="B7628" s="3"/>
    </row>
    <row r="7629" spans="2:2" x14ac:dyDescent="0.25">
      <c r="B7629" s="3"/>
    </row>
    <row r="7630" spans="2:2" x14ac:dyDescent="0.25">
      <c r="B7630" s="3"/>
    </row>
    <row r="7631" spans="2:2" x14ac:dyDescent="0.25">
      <c r="B7631" s="3"/>
    </row>
    <row r="7632" spans="2:2" x14ac:dyDescent="0.25">
      <c r="B7632" s="3"/>
    </row>
    <row r="7633" spans="2:2" x14ac:dyDescent="0.25">
      <c r="B7633" s="3"/>
    </row>
    <row r="7634" spans="2:2" x14ac:dyDescent="0.25">
      <c r="B7634" s="3"/>
    </row>
    <row r="7635" spans="2:2" x14ac:dyDescent="0.25">
      <c r="B7635" s="3"/>
    </row>
    <row r="7636" spans="2:2" x14ac:dyDescent="0.25">
      <c r="B7636" s="3"/>
    </row>
    <row r="7637" spans="2:2" x14ac:dyDescent="0.25">
      <c r="B7637" s="3"/>
    </row>
    <row r="7638" spans="2:2" x14ac:dyDescent="0.25">
      <c r="B7638" s="3"/>
    </row>
    <row r="7639" spans="2:2" x14ac:dyDescent="0.25">
      <c r="B7639" s="3"/>
    </row>
    <row r="7640" spans="2:2" x14ac:dyDescent="0.25">
      <c r="B7640" s="3"/>
    </row>
    <row r="7641" spans="2:2" x14ac:dyDescent="0.25">
      <c r="B7641" s="3"/>
    </row>
    <row r="7642" spans="2:2" x14ac:dyDescent="0.25">
      <c r="B7642" s="3"/>
    </row>
    <row r="7643" spans="2:2" x14ac:dyDescent="0.25">
      <c r="B7643" s="3"/>
    </row>
    <row r="7644" spans="2:2" x14ac:dyDescent="0.25">
      <c r="B7644" s="3"/>
    </row>
    <row r="7645" spans="2:2" x14ac:dyDescent="0.25">
      <c r="B7645" s="3"/>
    </row>
    <row r="7646" spans="2:2" x14ac:dyDescent="0.25">
      <c r="B7646" s="3"/>
    </row>
    <row r="7647" spans="2:2" x14ac:dyDescent="0.25">
      <c r="B7647" s="3"/>
    </row>
    <row r="7648" spans="2:2" x14ac:dyDescent="0.25">
      <c r="B7648" s="3"/>
    </row>
    <row r="7649" spans="2:2" x14ac:dyDescent="0.25">
      <c r="B7649" s="3"/>
    </row>
    <row r="7650" spans="2:2" x14ac:dyDescent="0.25">
      <c r="B7650" s="3"/>
    </row>
    <row r="7651" spans="2:2" x14ac:dyDescent="0.25">
      <c r="B7651" s="3"/>
    </row>
    <row r="7652" spans="2:2" x14ac:dyDescent="0.25">
      <c r="B7652" s="3"/>
    </row>
    <row r="7653" spans="2:2" x14ac:dyDescent="0.25">
      <c r="B7653" s="3"/>
    </row>
    <row r="7654" spans="2:2" x14ac:dyDescent="0.25">
      <c r="B7654" s="3"/>
    </row>
    <row r="7655" spans="2:2" x14ac:dyDescent="0.25">
      <c r="B7655" s="3"/>
    </row>
    <row r="7656" spans="2:2" x14ac:dyDescent="0.25">
      <c r="B7656" s="3"/>
    </row>
    <row r="7657" spans="2:2" x14ac:dyDescent="0.25">
      <c r="B7657" s="3"/>
    </row>
    <row r="7658" spans="2:2" x14ac:dyDescent="0.25">
      <c r="B7658" s="3"/>
    </row>
    <row r="7659" spans="2:2" x14ac:dyDescent="0.25">
      <c r="B7659" s="3"/>
    </row>
    <row r="7660" spans="2:2" x14ac:dyDescent="0.25">
      <c r="B7660" s="3"/>
    </row>
    <row r="7661" spans="2:2" x14ac:dyDescent="0.25">
      <c r="B7661" s="3"/>
    </row>
    <row r="7662" spans="2:2" x14ac:dyDescent="0.25">
      <c r="B7662" s="3"/>
    </row>
    <row r="7663" spans="2:2" x14ac:dyDescent="0.25">
      <c r="B7663" s="3"/>
    </row>
    <row r="7664" spans="2:2" x14ac:dyDescent="0.25">
      <c r="B7664" s="3"/>
    </row>
    <row r="7665" spans="2:2" x14ac:dyDescent="0.25">
      <c r="B7665" s="3"/>
    </row>
    <row r="7666" spans="2:2" x14ac:dyDescent="0.25">
      <c r="B7666" s="3"/>
    </row>
    <row r="7667" spans="2:2" x14ac:dyDescent="0.25">
      <c r="B7667" s="3"/>
    </row>
    <row r="7668" spans="2:2" x14ac:dyDescent="0.25">
      <c r="B7668" s="3"/>
    </row>
    <row r="7669" spans="2:2" x14ac:dyDescent="0.25">
      <c r="B7669" s="3"/>
    </row>
    <row r="7670" spans="2:2" x14ac:dyDescent="0.25">
      <c r="B7670" s="3"/>
    </row>
    <row r="7671" spans="2:2" x14ac:dyDescent="0.25">
      <c r="B7671" s="3"/>
    </row>
    <row r="7672" spans="2:2" x14ac:dyDescent="0.25">
      <c r="B7672" s="3"/>
    </row>
    <row r="7673" spans="2:2" x14ac:dyDescent="0.25">
      <c r="B7673" s="3"/>
    </row>
    <row r="7674" spans="2:2" x14ac:dyDescent="0.25">
      <c r="B7674" s="3"/>
    </row>
    <row r="7675" spans="2:2" x14ac:dyDescent="0.25">
      <c r="B7675" s="3"/>
    </row>
    <row r="7676" spans="2:2" x14ac:dyDescent="0.25">
      <c r="B7676" s="3"/>
    </row>
    <row r="7677" spans="2:2" x14ac:dyDescent="0.25">
      <c r="B7677" s="3"/>
    </row>
    <row r="7678" spans="2:2" x14ac:dyDescent="0.25">
      <c r="B7678" s="3"/>
    </row>
    <row r="7679" spans="2:2" x14ac:dyDescent="0.25">
      <c r="B7679" s="3"/>
    </row>
    <row r="7680" spans="2:2" x14ac:dyDescent="0.25">
      <c r="B7680" s="3"/>
    </row>
    <row r="7681" spans="2:2" x14ac:dyDescent="0.25">
      <c r="B7681" s="3"/>
    </row>
    <row r="7682" spans="2:2" x14ac:dyDescent="0.25">
      <c r="B7682" s="3"/>
    </row>
    <row r="7683" spans="2:2" x14ac:dyDescent="0.25">
      <c r="B7683" s="3"/>
    </row>
    <row r="7684" spans="2:2" x14ac:dyDescent="0.25">
      <c r="B7684" s="3"/>
    </row>
    <row r="7685" spans="2:2" x14ac:dyDescent="0.25">
      <c r="B7685" s="3"/>
    </row>
    <row r="7686" spans="2:2" x14ac:dyDescent="0.25">
      <c r="B7686" s="3"/>
    </row>
    <row r="7687" spans="2:2" x14ac:dyDescent="0.25">
      <c r="B7687" s="3"/>
    </row>
    <row r="7688" spans="2:2" x14ac:dyDescent="0.25">
      <c r="B7688" s="3"/>
    </row>
    <row r="7689" spans="2:2" x14ac:dyDescent="0.25">
      <c r="B7689" s="3"/>
    </row>
    <row r="7690" spans="2:2" x14ac:dyDescent="0.25">
      <c r="B7690" s="3"/>
    </row>
    <row r="7691" spans="2:2" x14ac:dyDescent="0.25">
      <c r="B7691" s="3"/>
    </row>
    <row r="7692" spans="2:2" x14ac:dyDescent="0.25">
      <c r="B7692" s="3"/>
    </row>
    <row r="7693" spans="2:2" x14ac:dyDescent="0.25">
      <c r="B7693" s="3"/>
    </row>
    <row r="7694" spans="2:2" x14ac:dyDescent="0.25">
      <c r="B7694" s="3"/>
    </row>
    <row r="7695" spans="2:2" x14ac:dyDescent="0.25">
      <c r="B7695" s="3"/>
    </row>
    <row r="7696" spans="2:2" x14ac:dyDescent="0.25">
      <c r="B7696" s="3"/>
    </row>
    <row r="7697" spans="2:2" x14ac:dyDescent="0.25">
      <c r="B7697" s="3"/>
    </row>
    <row r="7698" spans="2:2" x14ac:dyDescent="0.25">
      <c r="B7698" s="3"/>
    </row>
    <row r="7699" spans="2:2" x14ac:dyDescent="0.25">
      <c r="B7699" s="3"/>
    </row>
    <row r="7700" spans="2:2" x14ac:dyDescent="0.25">
      <c r="B7700" s="3"/>
    </row>
    <row r="7701" spans="2:2" x14ac:dyDescent="0.25">
      <c r="B7701" s="3"/>
    </row>
    <row r="7702" spans="2:2" x14ac:dyDescent="0.25">
      <c r="B7702" s="3"/>
    </row>
    <row r="7703" spans="2:2" x14ac:dyDescent="0.25">
      <c r="B7703" s="3"/>
    </row>
    <row r="7704" spans="2:2" x14ac:dyDescent="0.25">
      <c r="B7704" s="3"/>
    </row>
    <row r="7705" spans="2:2" x14ac:dyDescent="0.25">
      <c r="B7705" s="3"/>
    </row>
    <row r="7706" spans="2:2" x14ac:dyDescent="0.25">
      <c r="B7706" s="3"/>
    </row>
    <row r="7707" spans="2:2" x14ac:dyDescent="0.25">
      <c r="B7707" s="3"/>
    </row>
    <row r="7708" spans="2:2" x14ac:dyDescent="0.25">
      <c r="B7708" s="3"/>
    </row>
    <row r="7709" spans="2:2" x14ac:dyDescent="0.25">
      <c r="B7709" s="3"/>
    </row>
    <row r="7710" spans="2:2" x14ac:dyDescent="0.25">
      <c r="B7710" s="3"/>
    </row>
    <row r="7711" spans="2:2" x14ac:dyDescent="0.25">
      <c r="B7711" s="3"/>
    </row>
    <row r="7712" spans="2:2" x14ac:dyDescent="0.25">
      <c r="B7712" s="3"/>
    </row>
    <row r="7713" spans="2:2" x14ac:dyDescent="0.25">
      <c r="B7713" s="3"/>
    </row>
    <row r="7714" spans="2:2" x14ac:dyDescent="0.25">
      <c r="B7714" s="3"/>
    </row>
    <row r="7715" spans="2:2" x14ac:dyDescent="0.25">
      <c r="B7715" s="3"/>
    </row>
    <row r="7716" spans="2:2" x14ac:dyDescent="0.25">
      <c r="B7716" s="3"/>
    </row>
    <row r="7717" spans="2:2" x14ac:dyDescent="0.25">
      <c r="B7717" s="3"/>
    </row>
    <row r="7718" spans="2:2" x14ac:dyDescent="0.25">
      <c r="B7718" s="3"/>
    </row>
    <row r="7719" spans="2:2" x14ac:dyDescent="0.25">
      <c r="B7719" s="3"/>
    </row>
    <row r="7720" spans="2:2" x14ac:dyDescent="0.25">
      <c r="B7720" s="3"/>
    </row>
    <row r="7721" spans="2:2" x14ac:dyDescent="0.25">
      <c r="B7721" s="3"/>
    </row>
    <row r="7722" spans="2:2" x14ac:dyDescent="0.25">
      <c r="B7722" s="3"/>
    </row>
    <row r="7723" spans="2:2" x14ac:dyDescent="0.25">
      <c r="B7723" s="3"/>
    </row>
    <row r="7724" spans="2:2" x14ac:dyDescent="0.25">
      <c r="B7724" s="3"/>
    </row>
    <row r="7725" spans="2:2" x14ac:dyDescent="0.25">
      <c r="B7725" s="3"/>
    </row>
    <row r="7726" spans="2:2" x14ac:dyDescent="0.25">
      <c r="B7726" s="3"/>
    </row>
    <row r="7727" spans="2:2" x14ac:dyDescent="0.25">
      <c r="B7727" s="3"/>
    </row>
    <row r="7728" spans="2:2" x14ac:dyDescent="0.25">
      <c r="B7728" s="3"/>
    </row>
    <row r="7729" spans="2:2" x14ac:dyDescent="0.25">
      <c r="B7729" s="3"/>
    </row>
    <row r="7730" spans="2:2" x14ac:dyDescent="0.25">
      <c r="B7730" s="3"/>
    </row>
    <row r="7731" spans="2:2" x14ac:dyDescent="0.25">
      <c r="B7731" s="3"/>
    </row>
    <row r="7732" spans="2:2" x14ac:dyDescent="0.25">
      <c r="B7732" s="3"/>
    </row>
    <row r="7733" spans="2:2" x14ac:dyDescent="0.25">
      <c r="B7733" s="3"/>
    </row>
    <row r="7734" spans="2:2" x14ac:dyDescent="0.25">
      <c r="B7734" s="3"/>
    </row>
    <row r="7735" spans="2:2" x14ac:dyDescent="0.25">
      <c r="B7735" s="3"/>
    </row>
    <row r="7736" spans="2:2" x14ac:dyDescent="0.25">
      <c r="B7736" s="3"/>
    </row>
    <row r="7737" spans="2:2" x14ac:dyDescent="0.25">
      <c r="B7737" s="3"/>
    </row>
    <row r="7738" spans="2:2" x14ac:dyDescent="0.25">
      <c r="B7738" s="3"/>
    </row>
    <row r="7739" spans="2:2" x14ac:dyDescent="0.25">
      <c r="B7739" s="3"/>
    </row>
    <row r="7740" spans="2:2" x14ac:dyDescent="0.25">
      <c r="B7740" s="3"/>
    </row>
    <row r="7741" spans="2:2" x14ac:dyDescent="0.25">
      <c r="B7741" s="3"/>
    </row>
    <row r="7742" spans="2:2" x14ac:dyDescent="0.25">
      <c r="B7742" s="3"/>
    </row>
    <row r="7743" spans="2:2" x14ac:dyDescent="0.25">
      <c r="B7743" s="3"/>
    </row>
    <row r="7744" spans="2:2" x14ac:dyDescent="0.25">
      <c r="B7744" s="3"/>
    </row>
    <row r="7745" spans="2:2" x14ac:dyDescent="0.25">
      <c r="B7745" s="3"/>
    </row>
    <row r="7746" spans="2:2" x14ac:dyDescent="0.25">
      <c r="B7746" s="3"/>
    </row>
    <row r="7747" spans="2:2" x14ac:dyDescent="0.25">
      <c r="B7747" s="3"/>
    </row>
    <row r="7748" spans="2:2" x14ac:dyDescent="0.25">
      <c r="B7748" s="3"/>
    </row>
    <row r="7749" spans="2:2" x14ac:dyDescent="0.25">
      <c r="B7749" s="3"/>
    </row>
    <row r="7750" spans="2:2" x14ac:dyDescent="0.25">
      <c r="B7750" s="3"/>
    </row>
    <row r="7751" spans="2:2" x14ac:dyDescent="0.25">
      <c r="B7751" s="3"/>
    </row>
    <row r="7752" spans="2:2" x14ac:dyDescent="0.25">
      <c r="B7752" s="3"/>
    </row>
    <row r="7753" spans="2:2" x14ac:dyDescent="0.25">
      <c r="B7753" s="3"/>
    </row>
    <row r="7754" spans="2:2" x14ac:dyDescent="0.25">
      <c r="B7754" s="3"/>
    </row>
    <row r="7755" spans="2:2" x14ac:dyDescent="0.25">
      <c r="B7755" s="3"/>
    </row>
    <row r="7756" spans="2:2" x14ac:dyDescent="0.25">
      <c r="B7756" s="3"/>
    </row>
    <row r="7757" spans="2:2" x14ac:dyDescent="0.25">
      <c r="B7757" s="3"/>
    </row>
    <row r="7758" spans="2:2" x14ac:dyDescent="0.25">
      <c r="B7758" s="3"/>
    </row>
    <row r="7759" spans="2:2" x14ac:dyDescent="0.25">
      <c r="B7759" s="3"/>
    </row>
    <row r="7760" spans="2:2" x14ac:dyDescent="0.25">
      <c r="B7760" s="3"/>
    </row>
    <row r="7761" spans="2:2" x14ac:dyDescent="0.25">
      <c r="B7761" s="3"/>
    </row>
    <row r="7762" spans="2:2" x14ac:dyDescent="0.25">
      <c r="B7762" s="3"/>
    </row>
    <row r="7763" spans="2:2" x14ac:dyDescent="0.25">
      <c r="B7763" s="3"/>
    </row>
    <row r="7764" spans="2:2" x14ac:dyDescent="0.25">
      <c r="B7764" s="3"/>
    </row>
    <row r="7765" spans="2:2" x14ac:dyDescent="0.25">
      <c r="B7765" s="3"/>
    </row>
    <row r="7766" spans="2:2" x14ac:dyDescent="0.25">
      <c r="B7766" s="3"/>
    </row>
    <row r="7767" spans="2:2" x14ac:dyDescent="0.25">
      <c r="B7767" s="3"/>
    </row>
    <row r="7768" spans="2:2" x14ac:dyDescent="0.25">
      <c r="B7768" s="3"/>
    </row>
    <row r="7769" spans="2:2" x14ac:dyDescent="0.25">
      <c r="B7769" s="3"/>
    </row>
    <row r="7770" spans="2:2" x14ac:dyDescent="0.25">
      <c r="B7770" s="3"/>
    </row>
    <row r="7771" spans="2:2" x14ac:dyDescent="0.25">
      <c r="B7771" s="3"/>
    </row>
    <row r="7772" spans="2:2" x14ac:dyDescent="0.25">
      <c r="B7772" s="3"/>
    </row>
    <row r="7773" spans="2:2" x14ac:dyDescent="0.25">
      <c r="B7773" s="3"/>
    </row>
    <row r="7774" spans="2:2" x14ac:dyDescent="0.25">
      <c r="B7774" s="3"/>
    </row>
    <row r="7775" spans="2:2" x14ac:dyDescent="0.25">
      <c r="B7775" s="3"/>
    </row>
    <row r="7776" spans="2:2" x14ac:dyDescent="0.25">
      <c r="B7776" s="3"/>
    </row>
    <row r="7777" spans="2:2" x14ac:dyDescent="0.25">
      <c r="B7777" s="3"/>
    </row>
    <row r="7778" spans="2:2" x14ac:dyDescent="0.25">
      <c r="B7778" s="3"/>
    </row>
    <row r="7779" spans="2:2" x14ac:dyDescent="0.25">
      <c r="B7779" s="3"/>
    </row>
    <row r="7780" spans="2:2" x14ac:dyDescent="0.25">
      <c r="B7780" s="3"/>
    </row>
    <row r="7781" spans="2:2" x14ac:dyDescent="0.25">
      <c r="B7781" s="3"/>
    </row>
    <row r="7782" spans="2:2" x14ac:dyDescent="0.25">
      <c r="B7782" s="3"/>
    </row>
    <row r="7783" spans="2:2" x14ac:dyDescent="0.25">
      <c r="B7783" s="3"/>
    </row>
    <row r="7784" spans="2:2" x14ac:dyDescent="0.25">
      <c r="B7784" s="3"/>
    </row>
    <row r="7785" spans="2:2" x14ac:dyDescent="0.25">
      <c r="B7785" s="3"/>
    </row>
    <row r="7786" spans="2:2" x14ac:dyDescent="0.25">
      <c r="B7786" s="3"/>
    </row>
    <row r="7787" spans="2:2" x14ac:dyDescent="0.25">
      <c r="B7787" s="3"/>
    </row>
    <row r="7788" spans="2:2" x14ac:dyDescent="0.25">
      <c r="B7788" s="3"/>
    </row>
    <row r="7789" spans="2:2" x14ac:dyDescent="0.25">
      <c r="B7789" s="3"/>
    </row>
    <row r="7790" spans="2:2" x14ac:dyDescent="0.25">
      <c r="B7790" s="3"/>
    </row>
    <row r="7791" spans="2:2" x14ac:dyDescent="0.25">
      <c r="B7791" s="3"/>
    </row>
    <row r="7792" spans="2:2" x14ac:dyDescent="0.25">
      <c r="B7792" s="3"/>
    </row>
    <row r="7793" spans="2:2" x14ac:dyDescent="0.25">
      <c r="B7793" s="3"/>
    </row>
    <row r="7794" spans="2:2" x14ac:dyDescent="0.25">
      <c r="B7794" s="3"/>
    </row>
    <row r="7795" spans="2:2" x14ac:dyDescent="0.25">
      <c r="B7795" s="3"/>
    </row>
    <row r="7796" spans="2:2" x14ac:dyDescent="0.25">
      <c r="B7796" s="3"/>
    </row>
    <row r="7797" spans="2:2" x14ac:dyDescent="0.25">
      <c r="B7797" s="3"/>
    </row>
    <row r="7798" spans="2:2" x14ac:dyDescent="0.25">
      <c r="B7798" s="3"/>
    </row>
    <row r="7799" spans="2:2" x14ac:dyDescent="0.25">
      <c r="B7799" s="3"/>
    </row>
    <row r="7800" spans="2:2" x14ac:dyDescent="0.25">
      <c r="B7800" s="3"/>
    </row>
    <row r="7801" spans="2:2" x14ac:dyDescent="0.25">
      <c r="B7801" s="3"/>
    </row>
    <row r="7802" spans="2:2" x14ac:dyDescent="0.25">
      <c r="B7802" s="3"/>
    </row>
    <row r="7803" spans="2:2" x14ac:dyDescent="0.25">
      <c r="B7803" s="3"/>
    </row>
    <row r="7804" spans="2:2" x14ac:dyDescent="0.25">
      <c r="B7804" s="3"/>
    </row>
    <row r="7805" spans="2:2" x14ac:dyDescent="0.25">
      <c r="B7805" s="3"/>
    </row>
    <row r="7806" spans="2:2" x14ac:dyDescent="0.25">
      <c r="B7806" s="3"/>
    </row>
    <row r="7807" spans="2:2" x14ac:dyDescent="0.25">
      <c r="B7807" s="3"/>
    </row>
    <row r="7808" spans="2:2" x14ac:dyDescent="0.25">
      <c r="B7808" s="3"/>
    </row>
    <row r="7809" spans="2:2" x14ac:dyDescent="0.25">
      <c r="B7809" s="3"/>
    </row>
    <row r="7810" spans="2:2" x14ac:dyDescent="0.25">
      <c r="B7810" s="3"/>
    </row>
    <row r="7811" spans="2:2" x14ac:dyDescent="0.25">
      <c r="B7811" s="3"/>
    </row>
    <row r="7812" spans="2:2" x14ac:dyDescent="0.25">
      <c r="B7812" s="3"/>
    </row>
    <row r="7813" spans="2:2" x14ac:dyDescent="0.25">
      <c r="B7813" s="3"/>
    </row>
    <row r="7814" spans="2:2" x14ac:dyDescent="0.25">
      <c r="B7814" s="3"/>
    </row>
    <row r="7815" spans="2:2" x14ac:dyDescent="0.25">
      <c r="B7815" s="3"/>
    </row>
    <row r="7816" spans="2:2" x14ac:dyDescent="0.25">
      <c r="B7816" s="3"/>
    </row>
    <row r="7817" spans="2:2" x14ac:dyDescent="0.25">
      <c r="B7817" s="3"/>
    </row>
    <row r="7818" spans="2:2" x14ac:dyDescent="0.25">
      <c r="B7818" s="3"/>
    </row>
    <row r="7819" spans="2:2" x14ac:dyDescent="0.25">
      <c r="B7819" s="3"/>
    </row>
    <row r="7820" spans="2:2" x14ac:dyDescent="0.25">
      <c r="B7820" s="3"/>
    </row>
    <row r="7821" spans="2:2" x14ac:dyDescent="0.25">
      <c r="B7821" s="3"/>
    </row>
    <row r="7822" spans="2:2" x14ac:dyDescent="0.25">
      <c r="B7822" s="3"/>
    </row>
    <row r="7823" spans="2:2" x14ac:dyDescent="0.25">
      <c r="B7823" s="3"/>
    </row>
    <row r="7824" spans="2:2" x14ac:dyDescent="0.25">
      <c r="B7824" s="3"/>
    </row>
    <row r="7825" spans="2:2" x14ac:dyDescent="0.25">
      <c r="B7825" s="3"/>
    </row>
    <row r="7826" spans="2:2" x14ac:dyDescent="0.25">
      <c r="B7826" s="3"/>
    </row>
    <row r="7827" spans="2:2" x14ac:dyDescent="0.25">
      <c r="B7827" s="3"/>
    </row>
    <row r="7828" spans="2:2" x14ac:dyDescent="0.25">
      <c r="B7828" s="3"/>
    </row>
    <row r="7829" spans="2:2" x14ac:dyDescent="0.25">
      <c r="B7829" s="3"/>
    </row>
    <row r="7830" spans="2:2" x14ac:dyDescent="0.25">
      <c r="B7830" s="3"/>
    </row>
    <row r="7831" spans="2:2" x14ac:dyDescent="0.25">
      <c r="B7831" s="3"/>
    </row>
    <row r="7832" spans="2:2" x14ac:dyDescent="0.25">
      <c r="B7832" s="3"/>
    </row>
    <row r="7833" spans="2:2" x14ac:dyDescent="0.25">
      <c r="B7833" s="3"/>
    </row>
    <row r="7834" spans="2:2" x14ac:dyDescent="0.25">
      <c r="B7834" s="3"/>
    </row>
    <row r="7835" spans="2:2" x14ac:dyDescent="0.25">
      <c r="B7835" s="3"/>
    </row>
    <row r="7836" spans="2:2" x14ac:dyDescent="0.25">
      <c r="B7836" s="3"/>
    </row>
    <row r="7837" spans="2:2" x14ac:dyDescent="0.25">
      <c r="B7837" s="3"/>
    </row>
    <row r="7838" spans="2:2" x14ac:dyDescent="0.25">
      <c r="B7838" s="3"/>
    </row>
    <row r="7839" spans="2:2" x14ac:dyDescent="0.25">
      <c r="B7839" s="3"/>
    </row>
    <row r="7840" spans="2:2" x14ac:dyDescent="0.25">
      <c r="B7840" s="3"/>
    </row>
    <row r="7841" spans="2:2" x14ac:dyDescent="0.25">
      <c r="B7841" s="3"/>
    </row>
    <row r="7842" spans="2:2" x14ac:dyDescent="0.25">
      <c r="B7842" s="3"/>
    </row>
    <row r="7843" spans="2:2" x14ac:dyDescent="0.25">
      <c r="B7843" s="3"/>
    </row>
    <row r="7844" spans="2:2" x14ac:dyDescent="0.25">
      <c r="B7844" s="3"/>
    </row>
    <row r="7845" spans="2:2" x14ac:dyDescent="0.25">
      <c r="B7845" s="3"/>
    </row>
    <row r="7846" spans="2:2" x14ac:dyDescent="0.25">
      <c r="B7846" s="3"/>
    </row>
    <row r="7847" spans="2:2" x14ac:dyDescent="0.25">
      <c r="B7847" s="3"/>
    </row>
    <row r="7848" spans="2:2" x14ac:dyDescent="0.25">
      <c r="B7848" s="3"/>
    </row>
    <row r="7849" spans="2:2" x14ac:dyDescent="0.25">
      <c r="B7849" s="3"/>
    </row>
    <row r="7850" spans="2:2" x14ac:dyDescent="0.25">
      <c r="B7850" s="3"/>
    </row>
    <row r="7851" spans="2:2" x14ac:dyDescent="0.25">
      <c r="B7851" s="3"/>
    </row>
    <row r="7852" spans="2:2" x14ac:dyDescent="0.25">
      <c r="B7852" s="3"/>
    </row>
    <row r="7853" spans="2:2" x14ac:dyDescent="0.25">
      <c r="B7853" s="3"/>
    </row>
    <row r="7854" spans="2:2" x14ac:dyDescent="0.25">
      <c r="B7854" s="3"/>
    </row>
    <row r="7855" spans="2:2" x14ac:dyDescent="0.25">
      <c r="B7855" s="3"/>
    </row>
    <row r="7856" spans="2:2" x14ac:dyDescent="0.25">
      <c r="B7856" s="3"/>
    </row>
    <row r="7857" spans="2:2" x14ac:dyDescent="0.25">
      <c r="B7857" s="3"/>
    </row>
    <row r="7858" spans="2:2" x14ac:dyDescent="0.25">
      <c r="B7858" s="3"/>
    </row>
    <row r="7859" spans="2:2" x14ac:dyDescent="0.25">
      <c r="B7859" s="3"/>
    </row>
    <row r="7860" spans="2:2" x14ac:dyDescent="0.25">
      <c r="B7860" s="3"/>
    </row>
    <row r="7861" spans="2:2" x14ac:dyDescent="0.25">
      <c r="B7861" s="3"/>
    </row>
    <row r="7862" spans="2:2" x14ac:dyDescent="0.25">
      <c r="B7862" s="3"/>
    </row>
    <row r="7863" spans="2:2" x14ac:dyDescent="0.25">
      <c r="B7863" s="3"/>
    </row>
    <row r="7864" spans="2:2" x14ac:dyDescent="0.25">
      <c r="B7864" s="3"/>
    </row>
    <row r="7865" spans="2:2" x14ac:dyDescent="0.25">
      <c r="B7865" s="3"/>
    </row>
    <row r="7866" spans="2:2" x14ac:dyDescent="0.25">
      <c r="B7866" s="3"/>
    </row>
    <row r="7867" spans="2:2" x14ac:dyDescent="0.25">
      <c r="B7867" s="3"/>
    </row>
    <row r="7868" spans="2:2" x14ac:dyDescent="0.25">
      <c r="B7868" s="3"/>
    </row>
    <row r="7869" spans="2:2" x14ac:dyDescent="0.25">
      <c r="B7869" s="3"/>
    </row>
    <row r="7870" spans="2:2" x14ac:dyDescent="0.25">
      <c r="B7870" s="3"/>
    </row>
    <row r="7871" spans="2:2" x14ac:dyDescent="0.25">
      <c r="B7871" s="3"/>
    </row>
    <row r="7872" spans="2:2" x14ac:dyDescent="0.25">
      <c r="B7872" s="3"/>
    </row>
    <row r="7873" spans="2:2" x14ac:dyDescent="0.25">
      <c r="B7873" s="3"/>
    </row>
    <row r="7874" spans="2:2" x14ac:dyDescent="0.25">
      <c r="B7874" s="3"/>
    </row>
    <row r="7875" spans="2:2" x14ac:dyDescent="0.25">
      <c r="B7875" s="3"/>
    </row>
    <row r="7876" spans="2:2" x14ac:dyDescent="0.25">
      <c r="B7876" s="3"/>
    </row>
    <row r="7877" spans="2:2" x14ac:dyDescent="0.25">
      <c r="B7877" s="3"/>
    </row>
    <row r="7878" spans="2:2" x14ac:dyDescent="0.25">
      <c r="B7878" s="3"/>
    </row>
    <row r="7879" spans="2:2" x14ac:dyDescent="0.25">
      <c r="B7879" s="3"/>
    </row>
    <row r="7880" spans="2:2" x14ac:dyDescent="0.25">
      <c r="B7880" s="3"/>
    </row>
    <row r="7881" spans="2:2" x14ac:dyDescent="0.25">
      <c r="B7881" s="3"/>
    </row>
    <row r="7882" spans="2:2" x14ac:dyDescent="0.25">
      <c r="B7882" s="3"/>
    </row>
    <row r="7883" spans="2:2" x14ac:dyDescent="0.25">
      <c r="B7883" s="3"/>
    </row>
    <row r="7884" spans="2:2" x14ac:dyDescent="0.25">
      <c r="B7884" s="3"/>
    </row>
    <row r="7885" spans="2:2" x14ac:dyDescent="0.25">
      <c r="B7885" s="3"/>
    </row>
    <row r="7886" spans="2:2" x14ac:dyDescent="0.25">
      <c r="B7886" s="3"/>
    </row>
    <row r="7887" spans="2:2" x14ac:dyDescent="0.25">
      <c r="B7887" s="3"/>
    </row>
    <row r="7888" spans="2:2" x14ac:dyDescent="0.25">
      <c r="B7888" s="3"/>
    </row>
    <row r="7889" spans="2:2" x14ac:dyDescent="0.25">
      <c r="B7889" s="3"/>
    </row>
    <row r="7890" spans="2:2" x14ac:dyDescent="0.25">
      <c r="B7890" s="3"/>
    </row>
    <row r="7891" spans="2:2" x14ac:dyDescent="0.25">
      <c r="B7891" s="3"/>
    </row>
    <row r="7892" spans="2:2" x14ac:dyDescent="0.25">
      <c r="B7892" s="3"/>
    </row>
    <row r="7893" spans="2:2" x14ac:dyDescent="0.25">
      <c r="B7893" s="3"/>
    </row>
    <row r="7894" spans="2:2" x14ac:dyDescent="0.25">
      <c r="B7894" s="3"/>
    </row>
    <row r="7895" spans="2:2" x14ac:dyDescent="0.25">
      <c r="B7895" s="3"/>
    </row>
    <row r="7896" spans="2:2" x14ac:dyDescent="0.25">
      <c r="B7896" s="3"/>
    </row>
    <row r="7897" spans="2:2" x14ac:dyDescent="0.25">
      <c r="B7897" s="3"/>
    </row>
    <row r="7898" spans="2:2" x14ac:dyDescent="0.25">
      <c r="B7898" s="3"/>
    </row>
    <row r="7899" spans="2:2" x14ac:dyDescent="0.25">
      <c r="B7899" s="3"/>
    </row>
    <row r="7900" spans="2:2" x14ac:dyDescent="0.25">
      <c r="B7900" s="3"/>
    </row>
    <row r="7901" spans="2:2" x14ac:dyDescent="0.25">
      <c r="B7901" s="3"/>
    </row>
    <row r="7902" spans="2:2" x14ac:dyDescent="0.25">
      <c r="B7902" s="3"/>
    </row>
    <row r="7903" spans="2:2" x14ac:dyDescent="0.25">
      <c r="B7903" s="3"/>
    </row>
    <row r="7904" spans="2:2" x14ac:dyDescent="0.25">
      <c r="B7904" s="3"/>
    </row>
    <row r="7905" spans="2:2" x14ac:dyDescent="0.25">
      <c r="B7905" s="3"/>
    </row>
    <row r="7906" spans="2:2" x14ac:dyDescent="0.25">
      <c r="B7906" s="3"/>
    </row>
    <row r="7907" spans="2:2" x14ac:dyDescent="0.25">
      <c r="B7907" s="3"/>
    </row>
    <row r="7908" spans="2:2" x14ac:dyDescent="0.25">
      <c r="B7908" s="3"/>
    </row>
    <row r="7909" spans="2:2" x14ac:dyDescent="0.25">
      <c r="B7909" s="3"/>
    </row>
    <row r="7910" spans="2:2" x14ac:dyDescent="0.25">
      <c r="B7910" s="3"/>
    </row>
    <row r="7911" spans="2:2" x14ac:dyDescent="0.25">
      <c r="B7911" s="3"/>
    </row>
    <row r="7912" spans="2:2" x14ac:dyDescent="0.25">
      <c r="B7912" s="3"/>
    </row>
    <row r="7913" spans="2:2" x14ac:dyDescent="0.25">
      <c r="B7913" s="3"/>
    </row>
    <row r="7914" spans="2:2" x14ac:dyDescent="0.25">
      <c r="B7914" s="3"/>
    </row>
    <row r="7915" spans="2:2" x14ac:dyDescent="0.25">
      <c r="B7915" s="3"/>
    </row>
    <row r="7916" spans="2:2" x14ac:dyDescent="0.25">
      <c r="B7916" s="3"/>
    </row>
    <row r="7917" spans="2:2" x14ac:dyDescent="0.25">
      <c r="B7917" s="3"/>
    </row>
    <row r="7918" spans="2:2" x14ac:dyDescent="0.25">
      <c r="B7918" s="3"/>
    </row>
    <row r="7919" spans="2:2" x14ac:dyDescent="0.25">
      <c r="B7919" s="3"/>
    </row>
    <row r="7920" spans="2:2" x14ac:dyDescent="0.25">
      <c r="B7920" s="3"/>
    </row>
    <row r="7921" spans="2:2" x14ac:dyDescent="0.25">
      <c r="B7921" s="3"/>
    </row>
    <row r="7922" spans="2:2" x14ac:dyDescent="0.25">
      <c r="B7922" s="3"/>
    </row>
    <row r="7923" spans="2:2" x14ac:dyDescent="0.25">
      <c r="B7923" s="3"/>
    </row>
    <row r="7924" spans="2:2" x14ac:dyDescent="0.25">
      <c r="B7924" s="3"/>
    </row>
    <row r="7925" spans="2:2" x14ac:dyDescent="0.25">
      <c r="B7925" s="3"/>
    </row>
    <row r="7926" spans="2:2" x14ac:dyDescent="0.25">
      <c r="B7926" s="3"/>
    </row>
    <row r="7927" spans="2:2" x14ac:dyDescent="0.25">
      <c r="B7927" s="3"/>
    </row>
    <row r="7928" spans="2:2" x14ac:dyDescent="0.25">
      <c r="B7928" s="3"/>
    </row>
    <row r="7929" spans="2:2" x14ac:dyDescent="0.25">
      <c r="B7929" s="3"/>
    </row>
    <row r="7930" spans="2:2" x14ac:dyDescent="0.25">
      <c r="B7930" s="3"/>
    </row>
    <row r="7931" spans="2:2" x14ac:dyDescent="0.25">
      <c r="B7931" s="3"/>
    </row>
    <row r="7932" spans="2:2" x14ac:dyDescent="0.25">
      <c r="B7932" s="3"/>
    </row>
    <row r="7933" spans="2:2" x14ac:dyDescent="0.25">
      <c r="B7933" s="3"/>
    </row>
    <row r="7934" spans="2:2" x14ac:dyDescent="0.25">
      <c r="B7934" s="3"/>
    </row>
    <row r="7935" spans="2:2" x14ac:dyDescent="0.25">
      <c r="B7935" s="3"/>
    </row>
    <row r="7936" spans="2:2" x14ac:dyDescent="0.25">
      <c r="B7936" s="3"/>
    </row>
    <row r="7937" spans="2:2" x14ac:dyDescent="0.25">
      <c r="B7937" s="3"/>
    </row>
    <row r="7938" spans="2:2" x14ac:dyDescent="0.25">
      <c r="B7938" s="3"/>
    </row>
    <row r="7939" spans="2:2" x14ac:dyDescent="0.25">
      <c r="B7939" s="3"/>
    </row>
    <row r="7940" spans="2:2" x14ac:dyDescent="0.25">
      <c r="B7940" s="3"/>
    </row>
    <row r="7941" spans="2:2" x14ac:dyDescent="0.25">
      <c r="B7941" s="3"/>
    </row>
    <row r="7942" spans="2:2" x14ac:dyDescent="0.25">
      <c r="B7942" s="3"/>
    </row>
    <row r="7943" spans="2:2" x14ac:dyDescent="0.25">
      <c r="B7943" s="3"/>
    </row>
    <row r="7944" spans="2:2" x14ac:dyDescent="0.25">
      <c r="B7944" s="3"/>
    </row>
    <row r="7945" spans="2:2" x14ac:dyDescent="0.25">
      <c r="B7945" s="3"/>
    </row>
    <row r="7946" spans="2:2" x14ac:dyDescent="0.25">
      <c r="B7946" s="3"/>
    </row>
    <row r="7947" spans="2:2" x14ac:dyDescent="0.25">
      <c r="B7947" s="3"/>
    </row>
    <row r="7948" spans="2:2" x14ac:dyDescent="0.25">
      <c r="B7948" s="3"/>
    </row>
    <row r="7949" spans="2:2" x14ac:dyDescent="0.25">
      <c r="B7949" s="3"/>
    </row>
    <row r="7950" spans="2:2" x14ac:dyDescent="0.25">
      <c r="B7950" s="3"/>
    </row>
    <row r="7951" spans="2:2" x14ac:dyDescent="0.25">
      <c r="B7951" s="3"/>
    </row>
    <row r="7952" spans="2:2" x14ac:dyDescent="0.25">
      <c r="B7952" s="3"/>
    </row>
    <row r="7953" spans="2:2" x14ac:dyDescent="0.25">
      <c r="B7953" s="3"/>
    </row>
    <row r="7954" spans="2:2" x14ac:dyDescent="0.25">
      <c r="B7954" s="3"/>
    </row>
    <row r="7955" spans="2:2" x14ac:dyDescent="0.25">
      <c r="B7955" s="3"/>
    </row>
    <row r="7956" spans="2:2" x14ac:dyDescent="0.25">
      <c r="B7956" s="3"/>
    </row>
    <row r="7957" spans="2:2" x14ac:dyDescent="0.25">
      <c r="B7957" s="3"/>
    </row>
    <row r="7958" spans="2:2" x14ac:dyDescent="0.25">
      <c r="B7958" s="3"/>
    </row>
    <row r="7959" spans="2:2" x14ac:dyDescent="0.25">
      <c r="B7959" s="3"/>
    </row>
    <row r="7960" spans="2:2" x14ac:dyDescent="0.25">
      <c r="B7960" s="3"/>
    </row>
    <row r="7961" spans="2:2" x14ac:dyDescent="0.25">
      <c r="B7961" s="3"/>
    </row>
    <row r="7962" spans="2:2" x14ac:dyDescent="0.25">
      <c r="B7962" s="3"/>
    </row>
    <row r="7963" spans="2:2" x14ac:dyDescent="0.25">
      <c r="B7963" s="3"/>
    </row>
    <row r="7964" spans="2:2" x14ac:dyDescent="0.25">
      <c r="B7964" s="3"/>
    </row>
    <row r="7965" spans="2:2" x14ac:dyDescent="0.25">
      <c r="B7965" s="3"/>
    </row>
    <row r="7966" spans="2:2" x14ac:dyDescent="0.25">
      <c r="B7966" s="3"/>
    </row>
    <row r="7967" spans="2:2" x14ac:dyDescent="0.25">
      <c r="B7967" s="3"/>
    </row>
    <row r="7968" spans="2:2" x14ac:dyDescent="0.25">
      <c r="B7968" s="3"/>
    </row>
    <row r="7969" spans="2:2" x14ac:dyDescent="0.25">
      <c r="B7969" s="3"/>
    </row>
    <row r="7970" spans="2:2" x14ac:dyDescent="0.25">
      <c r="B7970" s="3"/>
    </row>
    <row r="7971" spans="2:2" x14ac:dyDescent="0.25">
      <c r="B7971" s="3"/>
    </row>
    <row r="7972" spans="2:2" x14ac:dyDescent="0.25">
      <c r="B7972" s="3"/>
    </row>
    <row r="7973" spans="2:2" x14ac:dyDescent="0.25">
      <c r="B7973" s="3"/>
    </row>
    <row r="7974" spans="2:2" x14ac:dyDescent="0.25">
      <c r="B7974" s="3"/>
    </row>
    <row r="7975" spans="2:2" x14ac:dyDescent="0.25">
      <c r="B7975" s="3"/>
    </row>
    <row r="7976" spans="2:2" x14ac:dyDescent="0.25">
      <c r="B7976" s="3"/>
    </row>
    <row r="7977" spans="2:2" x14ac:dyDescent="0.25">
      <c r="B7977" s="3"/>
    </row>
    <row r="7978" spans="2:2" x14ac:dyDescent="0.25">
      <c r="B7978" s="3"/>
    </row>
    <row r="7979" spans="2:2" x14ac:dyDescent="0.25">
      <c r="B7979" s="3"/>
    </row>
    <row r="7980" spans="2:2" x14ac:dyDescent="0.25">
      <c r="B7980" s="3"/>
    </row>
    <row r="7981" spans="2:2" x14ac:dyDescent="0.25">
      <c r="B7981" s="3"/>
    </row>
    <row r="7982" spans="2:2" x14ac:dyDescent="0.25">
      <c r="B7982" s="3"/>
    </row>
    <row r="7983" spans="2:2" x14ac:dyDescent="0.25">
      <c r="B7983" s="3"/>
    </row>
    <row r="7984" spans="2:2" x14ac:dyDescent="0.25">
      <c r="B7984" s="3"/>
    </row>
    <row r="7985" spans="2:2" x14ac:dyDescent="0.25">
      <c r="B7985" s="3"/>
    </row>
    <row r="7986" spans="2:2" x14ac:dyDescent="0.25">
      <c r="B7986" s="3"/>
    </row>
    <row r="7987" spans="2:2" x14ac:dyDescent="0.25">
      <c r="B7987" s="3"/>
    </row>
    <row r="7988" spans="2:2" x14ac:dyDescent="0.25">
      <c r="B7988" s="3"/>
    </row>
    <row r="7989" spans="2:2" x14ac:dyDescent="0.25">
      <c r="B7989" s="3"/>
    </row>
    <row r="7990" spans="2:2" x14ac:dyDescent="0.25">
      <c r="B7990" s="3"/>
    </row>
    <row r="7991" spans="2:2" x14ac:dyDescent="0.25">
      <c r="B7991" s="3"/>
    </row>
    <row r="7992" spans="2:2" x14ac:dyDescent="0.25">
      <c r="B7992" s="3"/>
    </row>
    <row r="7993" spans="2:2" x14ac:dyDescent="0.25">
      <c r="B7993" s="3"/>
    </row>
    <row r="7994" spans="2:2" x14ac:dyDescent="0.25">
      <c r="B7994" s="3"/>
    </row>
    <row r="7995" spans="2:2" x14ac:dyDescent="0.25">
      <c r="B7995" s="3"/>
    </row>
    <row r="7996" spans="2:2" x14ac:dyDescent="0.25">
      <c r="B7996" s="3"/>
    </row>
    <row r="7997" spans="2:2" x14ac:dyDescent="0.25">
      <c r="B7997" s="3"/>
    </row>
    <row r="7998" spans="2:2" x14ac:dyDescent="0.25">
      <c r="B7998" s="3"/>
    </row>
    <row r="7999" spans="2:2" x14ac:dyDescent="0.25">
      <c r="B7999" s="3"/>
    </row>
    <row r="8000" spans="2:2" x14ac:dyDescent="0.25">
      <c r="B8000" s="3"/>
    </row>
    <row r="8001" spans="2:2" x14ac:dyDescent="0.25">
      <c r="B8001" s="3"/>
    </row>
    <row r="8002" spans="2:2" x14ac:dyDescent="0.25">
      <c r="B8002" s="3"/>
    </row>
    <row r="8003" spans="2:2" x14ac:dyDescent="0.25">
      <c r="B8003" s="3"/>
    </row>
    <row r="8004" spans="2:2" x14ac:dyDescent="0.25">
      <c r="B8004" s="3"/>
    </row>
    <row r="8005" spans="2:2" x14ac:dyDescent="0.25">
      <c r="B8005" s="3"/>
    </row>
    <row r="8006" spans="2:2" x14ac:dyDescent="0.25">
      <c r="B8006" s="3"/>
    </row>
    <row r="8007" spans="2:2" x14ac:dyDescent="0.25">
      <c r="B8007" s="3"/>
    </row>
    <row r="8008" spans="2:2" x14ac:dyDescent="0.25">
      <c r="B8008" s="3"/>
    </row>
    <row r="8009" spans="2:2" x14ac:dyDescent="0.25">
      <c r="B8009" s="3"/>
    </row>
    <row r="8010" spans="2:2" x14ac:dyDescent="0.25">
      <c r="B8010" s="3"/>
    </row>
    <row r="8011" spans="2:2" x14ac:dyDescent="0.25">
      <c r="B8011" s="3"/>
    </row>
    <row r="8012" spans="2:2" x14ac:dyDescent="0.25">
      <c r="B8012" s="3"/>
    </row>
    <row r="8013" spans="2:2" x14ac:dyDescent="0.25">
      <c r="B8013" s="3"/>
    </row>
    <row r="8014" spans="2:2" x14ac:dyDescent="0.25">
      <c r="B8014" s="3"/>
    </row>
    <row r="8015" spans="2:2" x14ac:dyDescent="0.25">
      <c r="B8015" s="3"/>
    </row>
    <row r="8016" spans="2:2" x14ac:dyDescent="0.25">
      <c r="B8016" s="3"/>
    </row>
    <row r="8017" spans="2:2" x14ac:dyDescent="0.25">
      <c r="B8017" s="3"/>
    </row>
    <row r="8018" spans="2:2" x14ac:dyDescent="0.25">
      <c r="B8018" s="3"/>
    </row>
    <row r="8019" spans="2:2" x14ac:dyDescent="0.25">
      <c r="B8019" s="3"/>
    </row>
    <row r="8020" spans="2:2" x14ac:dyDescent="0.25">
      <c r="B8020" s="3"/>
    </row>
    <row r="8021" spans="2:2" x14ac:dyDescent="0.25">
      <c r="B8021" s="3"/>
    </row>
    <row r="8022" spans="2:2" x14ac:dyDescent="0.25">
      <c r="B8022" s="3"/>
    </row>
    <row r="8023" spans="2:2" x14ac:dyDescent="0.25">
      <c r="B8023" s="3"/>
    </row>
    <row r="8024" spans="2:2" x14ac:dyDescent="0.25">
      <c r="B8024" s="3"/>
    </row>
    <row r="8025" spans="2:2" x14ac:dyDescent="0.25">
      <c r="B8025" s="3"/>
    </row>
    <row r="8026" spans="2:2" x14ac:dyDescent="0.25">
      <c r="B8026" s="3"/>
    </row>
    <row r="8027" spans="2:2" x14ac:dyDescent="0.25">
      <c r="B8027" s="3"/>
    </row>
    <row r="8028" spans="2:2" x14ac:dyDescent="0.25">
      <c r="B8028" s="3"/>
    </row>
    <row r="8029" spans="2:2" x14ac:dyDescent="0.25">
      <c r="B8029" s="3"/>
    </row>
    <row r="8030" spans="2:2" x14ac:dyDescent="0.25">
      <c r="B8030" s="3"/>
    </row>
    <row r="8031" spans="2:2" x14ac:dyDescent="0.25">
      <c r="B8031" s="3"/>
    </row>
    <row r="8032" spans="2:2" x14ac:dyDescent="0.25">
      <c r="B8032" s="3"/>
    </row>
    <row r="8033" spans="2:2" x14ac:dyDescent="0.25">
      <c r="B8033" s="3"/>
    </row>
    <row r="8034" spans="2:2" x14ac:dyDescent="0.25">
      <c r="B8034" s="3"/>
    </row>
    <row r="8035" spans="2:2" x14ac:dyDescent="0.25">
      <c r="B8035" s="3"/>
    </row>
    <row r="8036" spans="2:2" x14ac:dyDescent="0.25">
      <c r="B8036" s="3"/>
    </row>
    <row r="8037" spans="2:2" x14ac:dyDescent="0.25">
      <c r="B8037" s="3"/>
    </row>
    <row r="8038" spans="2:2" x14ac:dyDescent="0.25">
      <c r="B8038" s="3"/>
    </row>
    <row r="8039" spans="2:2" x14ac:dyDescent="0.25">
      <c r="B8039" s="3"/>
    </row>
    <row r="8040" spans="2:2" x14ac:dyDescent="0.25">
      <c r="B8040" s="3"/>
    </row>
    <row r="8041" spans="2:2" x14ac:dyDescent="0.25">
      <c r="B8041" s="3"/>
    </row>
    <row r="8042" spans="2:2" x14ac:dyDescent="0.25">
      <c r="B8042" s="3"/>
    </row>
    <row r="8043" spans="2:2" x14ac:dyDescent="0.25">
      <c r="B8043" s="3"/>
    </row>
    <row r="8044" spans="2:2" x14ac:dyDescent="0.25">
      <c r="B8044" s="3"/>
    </row>
    <row r="8045" spans="2:2" x14ac:dyDescent="0.25">
      <c r="B8045" s="3"/>
    </row>
    <row r="8046" spans="2:2" x14ac:dyDescent="0.25">
      <c r="B8046" s="3"/>
    </row>
    <row r="8047" spans="2:2" x14ac:dyDescent="0.25">
      <c r="B8047" s="3"/>
    </row>
    <row r="8048" spans="2:2" x14ac:dyDescent="0.25">
      <c r="B8048" s="3"/>
    </row>
    <row r="8049" spans="2:2" x14ac:dyDescent="0.25">
      <c r="B8049" s="3"/>
    </row>
    <row r="8050" spans="2:2" x14ac:dyDescent="0.25">
      <c r="B8050" s="3"/>
    </row>
    <row r="8051" spans="2:2" x14ac:dyDescent="0.25">
      <c r="B8051" s="3"/>
    </row>
    <row r="8052" spans="2:2" x14ac:dyDescent="0.25">
      <c r="B8052" s="3"/>
    </row>
    <row r="8053" spans="2:2" x14ac:dyDescent="0.25">
      <c r="B8053" s="3"/>
    </row>
    <row r="8054" spans="2:2" x14ac:dyDescent="0.25">
      <c r="B8054" s="3"/>
    </row>
    <row r="8055" spans="2:2" x14ac:dyDescent="0.25">
      <c r="B8055" s="3"/>
    </row>
    <row r="8056" spans="2:2" x14ac:dyDescent="0.25">
      <c r="B8056" s="3"/>
    </row>
    <row r="8057" spans="2:2" x14ac:dyDescent="0.25">
      <c r="B8057" s="3"/>
    </row>
    <row r="8058" spans="2:2" x14ac:dyDescent="0.25">
      <c r="B8058" s="3"/>
    </row>
    <row r="8059" spans="2:2" x14ac:dyDescent="0.25">
      <c r="B8059" s="3"/>
    </row>
    <row r="8060" spans="2:2" x14ac:dyDescent="0.25">
      <c r="B8060" s="3"/>
    </row>
    <row r="8061" spans="2:2" x14ac:dyDescent="0.25">
      <c r="B8061" s="3"/>
    </row>
    <row r="8062" spans="2:2" x14ac:dyDescent="0.25">
      <c r="B8062" s="3"/>
    </row>
    <row r="8063" spans="2:2" x14ac:dyDescent="0.25">
      <c r="B8063" s="3"/>
    </row>
    <row r="8064" spans="2:2" x14ac:dyDescent="0.25">
      <c r="B8064" s="3"/>
    </row>
    <row r="8065" spans="2:2" x14ac:dyDescent="0.25">
      <c r="B8065" s="3"/>
    </row>
    <row r="8066" spans="2:2" x14ac:dyDescent="0.25">
      <c r="B8066" s="3"/>
    </row>
    <row r="8067" spans="2:2" x14ac:dyDescent="0.25">
      <c r="B8067" s="3"/>
    </row>
    <row r="8068" spans="2:2" x14ac:dyDescent="0.25">
      <c r="B8068" s="3"/>
    </row>
    <row r="8069" spans="2:2" x14ac:dyDescent="0.25">
      <c r="B8069" s="3"/>
    </row>
    <row r="8070" spans="2:2" x14ac:dyDescent="0.25">
      <c r="B8070" s="3"/>
    </row>
    <row r="8071" spans="2:2" x14ac:dyDescent="0.25">
      <c r="B8071" s="3"/>
    </row>
    <row r="8072" spans="2:2" x14ac:dyDescent="0.25">
      <c r="B8072" s="3"/>
    </row>
    <row r="8073" spans="2:2" x14ac:dyDescent="0.25">
      <c r="B8073" s="3"/>
    </row>
    <row r="8074" spans="2:2" x14ac:dyDescent="0.25">
      <c r="B8074" s="3"/>
    </row>
    <row r="8075" spans="2:2" x14ac:dyDescent="0.25">
      <c r="B8075" s="3"/>
    </row>
    <row r="8076" spans="2:2" x14ac:dyDescent="0.25">
      <c r="B8076" s="3"/>
    </row>
    <row r="8077" spans="2:2" x14ac:dyDescent="0.25">
      <c r="B8077" s="3"/>
    </row>
    <row r="8078" spans="2:2" x14ac:dyDescent="0.25">
      <c r="B8078" s="3"/>
    </row>
    <row r="8079" spans="2:2" x14ac:dyDescent="0.25">
      <c r="B8079" s="3"/>
    </row>
    <row r="8080" spans="2:2" x14ac:dyDescent="0.25">
      <c r="B8080" s="3"/>
    </row>
    <row r="8081" spans="2:2" x14ac:dyDescent="0.25">
      <c r="B8081" s="3"/>
    </row>
    <row r="8082" spans="2:2" x14ac:dyDescent="0.25">
      <c r="B8082" s="3"/>
    </row>
    <row r="8083" spans="2:2" x14ac:dyDescent="0.25">
      <c r="B8083" s="3"/>
    </row>
    <row r="8084" spans="2:2" x14ac:dyDescent="0.25">
      <c r="B8084" s="3"/>
    </row>
    <row r="8085" spans="2:2" x14ac:dyDescent="0.25">
      <c r="B8085" s="3"/>
    </row>
    <row r="8086" spans="2:2" x14ac:dyDescent="0.25">
      <c r="B8086" s="3"/>
    </row>
    <row r="8087" spans="2:2" x14ac:dyDescent="0.25">
      <c r="B8087" s="3"/>
    </row>
    <row r="8088" spans="2:2" x14ac:dyDescent="0.25">
      <c r="B8088" s="3"/>
    </row>
    <row r="8089" spans="2:2" x14ac:dyDescent="0.25">
      <c r="B8089" s="3"/>
    </row>
    <row r="8090" spans="2:2" x14ac:dyDescent="0.25">
      <c r="B8090" s="3"/>
    </row>
    <row r="8091" spans="2:2" x14ac:dyDescent="0.25">
      <c r="B8091" s="3"/>
    </row>
    <row r="8092" spans="2:2" x14ac:dyDescent="0.25">
      <c r="B8092" s="3"/>
    </row>
    <row r="8093" spans="2:2" x14ac:dyDescent="0.25">
      <c r="B8093" s="3"/>
    </row>
    <row r="8094" spans="2:2" x14ac:dyDescent="0.25">
      <c r="B8094" s="3"/>
    </row>
    <row r="8095" spans="2:2" x14ac:dyDescent="0.25">
      <c r="B8095" s="3"/>
    </row>
    <row r="8096" spans="2:2" x14ac:dyDescent="0.25">
      <c r="B8096" s="3"/>
    </row>
    <row r="8097" spans="2:2" x14ac:dyDescent="0.25">
      <c r="B8097" s="3"/>
    </row>
    <row r="8098" spans="2:2" x14ac:dyDescent="0.25">
      <c r="B8098" s="3"/>
    </row>
    <row r="8099" spans="2:2" x14ac:dyDescent="0.25">
      <c r="B8099" s="3"/>
    </row>
    <row r="8100" spans="2:2" x14ac:dyDescent="0.25">
      <c r="B8100" s="3"/>
    </row>
    <row r="8101" spans="2:2" x14ac:dyDescent="0.25">
      <c r="B8101" s="3"/>
    </row>
    <row r="8102" spans="2:2" x14ac:dyDescent="0.25">
      <c r="B8102" s="3"/>
    </row>
    <row r="8103" spans="2:2" x14ac:dyDescent="0.25">
      <c r="B8103" s="3"/>
    </row>
    <row r="8104" spans="2:2" x14ac:dyDescent="0.25">
      <c r="B8104" s="3"/>
    </row>
    <row r="8105" spans="2:2" x14ac:dyDescent="0.25">
      <c r="B8105" s="3"/>
    </row>
    <row r="8106" spans="2:2" x14ac:dyDescent="0.25">
      <c r="B8106" s="3"/>
    </row>
    <row r="8107" spans="2:2" x14ac:dyDescent="0.25">
      <c r="B8107" s="3"/>
    </row>
    <row r="8108" spans="2:2" x14ac:dyDescent="0.25">
      <c r="B8108" s="3"/>
    </row>
    <row r="8109" spans="2:2" x14ac:dyDescent="0.25">
      <c r="B8109" s="3"/>
    </row>
    <row r="8110" spans="2:2" x14ac:dyDescent="0.25">
      <c r="B8110" s="3"/>
    </row>
    <row r="8111" spans="2:2" x14ac:dyDescent="0.25">
      <c r="B8111" s="3"/>
    </row>
    <row r="8112" spans="2:2" x14ac:dyDescent="0.25">
      <c r="B8112" s="3"/>
    </row>
    <row r="8113" spans="2:2" x14ac:dyDescent="0.25">
      <c r="B8113" s="3"/>
    </row>
    <row r="8114" spans="2:2" x14ac:dyDescent="0.25">
      <c r="B8114" s="3"/>
    </row>
    <row r="8115" spans="2:2" x14ac:dyDescent="0.25">
      <c r="B8115" s="3"/>
    </row>
    <row r="8116" spans="2:2" x14ac:dyDescent="0.25">
      <c r="B8116" s="3"/>
    </row>
    <row r="8117" spans="2:2" x14ac:dyDescent="0.25">
      <c r="B8117" s="3"/>
    </row>
    <row r="8118" spans="2:2" x14ac:dyDescent="0.25">
      <c r="B8118" s="3"/>
    </row>
    <row r="8119" spans="2:2" x14ac:dyDescent="0.25">
      <c r="B8119" s="3"/>
    </row>
    <row r="8120" spans="2:2" x14ac:dyDescent="0.25">
      <c r="B8120" s="3"/>
    </row>
    <row r="8121" spans="2:2" x14ac:dyDescent="0.25">
      <c r="B8121" s="3"/>
    </row>
    <row r="8122" spans="2:2" x14ac:dyDescent="0.25">
      <c r="B8122" s="3"/>
    </row>
    <row r="8123" spans="2:2" x14ac:dyDescent="0.25">
      <c r="B8123" s="3"/>
    </row>
    <row r="8124" spans="2:2" x14ac:dyDescent="0.25">
      <c r="B8124" s="3"/>
    </row>
    <row r="8125" spans="2:2" x14ac:dyDescent="0.25">
      <c r="B8125" s="3"/>
    </row>
    <row r="8126" spans="2:2" x14ac:dyDescent="0.25">
      <c r="B8126" s="3"/>
    </row>
    <row r="8127" spans="2:2" x14ac:dyDescent="0.25">
      <c r="B8127" s="3"/>
    </row>
    <row r="8128" spans="2:2" x14ac:dyDescent="0.25">
      <c r="B8128" s="3"/>
    </row>
    <row r="8129" spans="2:2" x14ac:dyDescent="0.25">
      <c r="B8129" s="3"/>
    </row>
    <row r="8130" spans="2:2" x14ac:dyDescent="0.25">
      <c r="B8130" s="3"/>
    </row>
    <row r="8131" spans="2:2" x14ac:dyDescent="0.25">
      <c r="B8131" s="3"/>
    </row>
    <row r="8132" spans="2:2" x14ac:dyDescent="0.25">
      <c r="B8132" s="3"/>
    </row>
    <row r="8133" spans="2:2" x14ac:dyDescent="0.25">
      <c r="B8133" s="3"/>
    </row>
    <row r="8134" spans="2:2" x14ac:dyDescent="0.25">
      <c r="B8134" s="3"/>
    </row>
    <row r="8135" spans="2:2" x14ac:dyDescent="0.25">
      <c r="B8135" s="3"/>
    </row>
    <row r="8136" spans="2:2" x14ac:dyDescent="0.25">
      <c r="B8136" s="3"/>
    </row>
    <row r="8137" spans="2:2" x14ac:dyDescent="0.25">
      <c r="B8137" s="3"/>
    </row>
    <row r="8138" spans="2:2" x14ac:dyDescent="0.25">
      <c r="B8138" s="3"/>
    </row>
    <row r="8139" spans="2:2" x14ac:dyDescent="0.25">
      <c r="B8139" s="3"/>
    </row>
    <row r="8140" spans="2:2" x14ac:dyDescent="0.25">
      <c r="B8140" s="3"/>
    </row>
    <row r="8141" spans="2:2" x14ac:dyDescent="0.25">
      <c r="B8141" s="3"/>
    </row>
    <row r="8142" spans="2:2" x14ac:dyDescent="0.25">
      <c r="B8142" s="3"/>
    </row>
    <row r="8143" spans="2:2" x14ac:dyDescent="0.25">
      <c r="B8143" s="3"/>
    </row>
    <row r="8144" spans="2:2" x14ac:dyDescent="0.25">
      <c r="B8144" s="3"/>
    </row>
    <row r="8145" spans="2:2" x14ac:dyDescent="0.25">
      <c r="B8145" s="3"/>
    </row>
    <row r="8146" spans="2:2" x14ac:dyDescent="0.25">
      <c r="B8146" s="3"/>
    </row>
    <row r="8147" spans="2:2" x14ac:dyDescent="0.25">
      <c r="B8147" s="3"/>
    </row>
    <row r="8148" spans="2:2" x14ac:dyDescent="0.25">
      <c r="B8148" s="3"/>
    </row>
    <row r="8149" spans="2:2" x14ac:dyDescent="0.25">
      <c r="B8149" s="3"/>
    </row>
    <row r="8150" spans="2:2" x14ac:dyDescent="0.25">
      <c r="B8150" s="3"/>
    </row>
    <row r="8151" spans="2:2" x14ac:dyDescent="0.25">
      <c r="B8151" s="3"/>
    </row>
    <row r="8152" spans="2:2" x14ac:dyDescent="0.25">
      <c r="B8152" s="3"/>
    </row>
    <row r="8153" spans="2:2" x14ac:dyDescent="0.25">
      <c r="B8153" s="3"/>
    </row>
    <row r="8154" spans="2:2" x14ac:dyDescent="0.25">
      <c r="B8154" s="3"/>
    </row>
    <row r="8155" spans="2:2" x14ac:dyDescent="0.25">
      <c r="B8155" s="3"/>
    </row>
    <row r="8156" spans="2:2" x14ac:dyDescent="0.25">
      <c r="B8156" s="3"/>
    </row>
    <row r="8157" spans="2:2" x14ac:dyDescent="0.25">
      <c r="B8157" s="3"/>
    </row>
    <row r="8158" spans="2:2" x14ac:dyDescent="0.25">
      <c r="B8158" s="3"/>
    </row>
    <row r="8159" spans="2:2" x14ac:dyDescent="0.25">
      <c r="B8159" s="3"/>
    </row>
    <row r="8160" spans="2:2" x14ac:dyDescent="0.25">
      <c r="B8160" s="3"/>
    </row>
    <row r="8161" spans="2:2" x14ac:dyDescent="0.25">
      <c r="B8161" s="3"/>
    </row>
    <row r="8162" spans="2:2" x14ac:dyDescent="0.25">
      <c r="B8162" s="3"/>
    </row>
    <row r="8163" spans="2:2" x14ac:dyDescent="0.25">
      <c r="B8163" s="3"/>
    </row>
    <row r="8164" spans="2:2" x14ac:dyDescent="0.25">
      <c r="B8164" s="3"/>
    </row>
    <row r="8165" spans="2:2" x14ac:dyDescent="0.25">
      <c r="B8165" s="3"/>
    </row>
    <row r="8166" spans="2:2" x14ac:dyDescent="0.25">
      <c r="B8166" s="3"/>
    </row>
    <row r="8167" spans="2:2" x14ac:dyDescent="0.25">
      <c r="B8167" s="3"/>
    </row>
    <row r="8168" spans="2:2" x14ac:dyDescent="0.25">
      <c r="B8168" s="3"/>
    </row>
    <row r="8169" spans="2:2" x14ac:dyDescent="0.25">
      <c r="B8169" s="3"/>
    </row>
    <row r="8170" spans="2:2" x14ac:dyDescent="0.25">
      <c r="B8170" s="3"/>
    </row>
    <row r="8171" spans="2:2" x14ac:dyDescent="0.25">
      <c r="B8171" s="3"/>
    </row>
    <row r="8172" spans="2:2" x14ac:dyDescent="0.25">
      <c r="B8172" s="3"/>
    </row>
    <row r="8173" spans="2:2" x14ac:dyDescent="0.25">
      <c r="B8173" s="3"/>
    </row>
    <row r="8174" spans="2:2" x14ac:dyDescent="0.25">
      <c r="B8174" s="3"/>
    </row>
    <row r="8175" spans="2:2" x14ac:dyDescent="0.25">
      <c r="B8175" s="3"/>
    </row>
    <row r="8176" spans="2:2" x14ac:dyDescent="0.25">
      <c r="B8176" s="3"/>
    </row>
    <row r="8177" spans="2:2" x14ac:dyDescent="0.25">
      <c r="B8177" s="3"/>
    </row>
    <row r="8178" spans="2:2" x14ac:dyDescent="0.25">
      <c r="B8178" s="3"/>
    </row>
    <row r="8179" spans="2:2" x14ac:dyDescent="0.25">
      <c r="B8179" s="3"/>
    </row>
    <row r="8180" spans="2:2" x14ac:dyDescent="0.25">
      <c r="B8180" s="3"/>
    </row>
    <row r="8181" spans="2:2" x14ac:dyDescent="0.25">
      <c r="B8181" s="3"/>
    </row>
    <row r="8182" spans="2:2" x14ac:dyDescent="0.25">
      <c r="B8182" s="3"/>
    </row>
    <row r="8183" spans="2:2" x14ac:dyDescent="0.25">
      <c r="B8183" s="3"/>
    </row>
    <row r="8184" spans="2:2" x14ac:dyDescent="0.25">
      <c r="B8184" s="3"/>
    </row>
    <row r="8185" spans="2:2" x14ac:dyDescent="0.25">
      <c r="B8185" s="3"/>
    </row>
    <row r="8186" spans="2:2" x14ac:dyDescent="0.25">
      <c r="B8186" s="3"/>
    </row>
    <row r="8187" spans="2:2" x14ac:dyDescent="0.25">
      <c r="B8187" s="3"/>
    </row>
    <row r="8188" spans="2:2" x14ac:dyDescent="0.25">
      <c r="B8188" s="3"/>
    </row>
    <row r="8189" spans="2:2" x14ac:dyDescent="0.25">
      <c r="B8189" s="3"/>
    </row>
    <row r="8190" spans="2:2" x14ac:dyDescent="0.25">
      <c r="B8190" s="3"/>
    </row>
    <row r="8191" spans="2:2" x14ac:dyDescent="0.25">
      <c r="B8191" s="3"/>
    </row>
    <row r="8192" spans="2:2" x14ac:dyDescent="0.25">
      <c r="B8192" s="3"/>
    </row>
    <row r="8193" spans="2:2" x14ac:dyDescent="0.25">
      <c r="B8193" s="3"/>
    </row>
    <row r="8194" spans="2:2" x14ac:dyDescent="0.25">
      <c r="B8194" s="3"/>
    </row>
    <row r="8195" spans="2:2" x14ac:dyDescent="0.25">
      <c r="B8195" s="3"/>
    </row>
    <row r="8196" spans="2:2" x14ac:dyDescent="0.25">
      <c r="B8196" s="3"/>
    </row>
    <row r="8197" spans="2:2" x14ac:dyDescent="0.25">
      <c r="B8197" s="3"/>
    </row>
    <row r="8198" spans="2:2" x14ac:dyDescent="0.25">
      <c r="B8198" s="3"/>
    </row>
    <row r="8199" spans="2:2" x14ac:dyDescent="0.25">
      <c r="B8199" s="3"/>
    </row>
    <row r="8200" spans="2:2" x14ac:dyDescent="0.25">
      <c r="B8200" s="3"/>
    </row>
    <row r="8201" spans="2:2" x14ac:dyDescent="0.25">
      <c r="B8201" s="3"/>
    </row>
    <row r="8202" spans="2:2" x14ac:dyDescent="0.25">
      <c r="B8202" s="3"/>
    </row>
    <row r="8203" spans="2:2" x14ac:dyDescent="0.25">
      <c r="B8203" s="3"/>
    </row>
    <row r="8204" spans="2:2" x14ac:dyDescent="0.25">
      <c r="B8204" s="3"/>
    </row>
    <row r="8205" spans="2:2" x14ac:dyDescent="0.25">
      <c r="B8205" s="3"/>
    </row>
    <row r="8206" spans="2:2" x14ac:dyDescent="0.25">
      <c r="B8206" s="3"/>
    </row>
    <row r="8207" spans="2:2" x14ac:dyDescent="0.25">
      <c r="B8207" s="3"/>
    </row>
    <row r="8208" spans="2:2" x14ac:dyDescent="0.25">
      <c r="B8208" s="3"/>
    </row>
    <row r="8209" spans="2:2" x14ac:dyDescent="0.25">
      <c r="B8209" s="3"/>
    </row>
    <row r="8210" spans="2:2" x14ac:dyDescent="0.25">
      <c r="B8210" s="3"/>
    </row>
    <row r="8211" spans="2:2" x14ac:dyDescent="0.25">
      <c r="B8211" s="3"/>
    </row>
    <row r="8212" spans="2:2" x14ac:dyDescent="0.25">
      <c r="B8212" s="3"/>
    </row>
    <row r="8213" spans="2:2" x14ac:dyDescent="0.25">
      <c r="B8213" s="3"/>
    </row>
    <row r="8214" spans="2:2" x14ac:dyDescent="0.25">
      <c r="B8214" s="3"/>
    </row>
    <row r="8215" spans="2:2" x14ac:dyDescent="0.25">
      <c r="B8215" s="3"/>
    </row>
    <row r="8216" spans="2:2" x14ac:dyDescent="0.25">
      <c r="B8216" s="3"/>
    </row>
    <row r="8217" spans="2:2" x14ac:dyDescent="0.25">
      <c r="B8217" s="3"/>
    </row>
    <row r="8218" spans="2:2" x14ac:dyDescent="0.25">
      <c r="B8218" s="3"/>
    </row>
    <row r="8219" spans="2:2" x14ac:dyDescent="0.25">
      <c r="B8219" s="3"/>
    </row>
    <row r="8220" spans="2:2" x14ac:dyDescent="0.25">
      <c r="B8220" s="3"/>
    </row>
    <row r="8221" spans="2:2" x14ac:dyDescent="0.25">
      <c r="B8221" s="3"/>
    </row>
    <row r="8222" spans="2:2" x14ac:dyDescent="0.25">
      <c r="B8222" s="3"/>
    </row>
    <row r="8223" spans="2:2" x14ac:dyDescent="0.25">
      <c r="B8223" s="3"/>
    </row>
    <row r="8224" spans="2:2" x14ac:dyDescent="0.25">
      <c r="B8224" s="3"/>
    </row>
    <row r="8225" spans="2:2" x14ac:dyDescent="0.25">
      <c r="B8225" s="3"/>
    </row>
    <row r="8226" spans="2:2" x14ac:dyDescent="0.25">
      <c r="B8226" s="3"/>
    </row>
    <row r="8227" spans="2:2" x14ac:dyDescent="0.25">
      <c r="B8227" s="3"/>
    </row>
    <row r="8228" spans="2:2" x14ac:dyDescent="0.25">
      <c r="B8228" s="3"/>
    </row>
    <row r="8229" spans="2:2" x14ac:dyDescent="0.25">
      <c r="B8229" s="3"/>
    </row>
    <row r="8230" spans="2:2" x14ac:dyDescent="0.25">
      <c r="B8230" s="3"/>
    </row>
  </sheetData>
  <autoFilter ref="A3:E3" xr:uid="{3FAB9ED8-DB2D-4A0C-BD38-EB5023889FD7}">
    <sortState xmlns:xlrd2="http://schemas.microsoft.com/office/spreadsheetml/2017/richdata2" ref="A4:E871">
      <sortCondition ref="E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dcterms:created xsi:type="dcterms:W3CDTF">2024-07-25T17:59:05Z</dcterms:created>
  <dcterms:modified xsi:type="dcterms:W3CDTF">2025-02-25T15:46:05Z</dcterms:modified>
</cp:coreProperties>
</file>